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3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6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7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8.xml" ContentType="application/vnd.openxmlformats-officedocument.drawing+xml"/>
  <Override PartName="/xl/embeddings/oleObject2.bin" ContentType="application/vnd.openxmlformats-officedocument.oleObject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drawings/drawing9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drawings/drawing10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1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drawings/drawing12.xml" ContentType="application/vnd.openxmlformats-officedocument.drawing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drawings/drawing13.xml" ContentType="application/vnd.openxmlformats-officedocument.drawing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codeName="DieseArbeitsmappe" defaultThemeVersion="124226"/>
  <xr:revisionPtr revIDLastSave="0" documentId="13_ncr:1_{7FDF722B-ED5E-4458-8F5D-FDD134102939}" xr6:coauthVersionLast="36" xr6:coauthVersionMax="36" xr10:uidLastSave="{00000000-0000-0000-0000-000000000000}"/>
  <bookViews>
    <workbookView xWindow="28692" yWindow="-108" windowWidth="28992" windowHeight="15792" xr2:uid="{00000000-000D-0000-FFFF-FFFF00000000}"/>
  </bookViews>
  <sheets>
    <sheet name="Info" sheetId="4" r:id="rId1"/>
    <sheet name="DP" sheetId="13" r:id="rId2"/>
    <sheet name="DS" sheetId="15" r:id="rId3"/>
    <sheet name="DS.19" sheetId="21" r:id="rId4"/>
    <sheet name="R.16" sheetId="14" r:id="rId5"/>
    <sheet name="DR44" sheetId="16" r:id="rId6"/>
    <sheet name="DR29" sheetId="17" r:id="rId7"/>
    <sheet name="FX.12" sheetId="18" r:id="rId8"/>
    <sheet name="PR" sheetId="19" r:id="rId9"/>
    <sheet name="RI" sheetId="1" r:id="rId10"/>
    <sheet name="RI_P.10" sheetId="22" r:id="rId11"/>
    <sheet name="QR" sheetId="20" r:id="rId12"/>
    <sheet name="QR_P.10" sheetId="24" r:id="rId13"/>
    <sheet name="Versionsverlauf" sheetId="25" state="hidden" r:id="rId14"/>
    <sheet name="Formeln" sheetId="2" state="hidden" r:id="rId15"/>
    <sheet name="Formeln_RI_P.10" sheetId="23" state="hidden" r:id="rId16"/>
    <sheet name="Sprachindex" sheetId="3" state="hidden" r:id="rId17"/>
  </sheets>
  <definedNames>
    <definedName name="_xlnm._FilterDatabase" localSheetId="1" hidden="1">DP!$A$29:$A$105</definedName>
    <definedName name="_xlnm._FilterDatabase" localSheetId="6" hidden="1">'DR29'!$A$29:$A$103</definedName>
    <definedName name="_xlnm._FilterDatabase" localSheetId="5" hidden="1">'DR44'!$A$29:$A$101</definedName>
    <definedName name="_xlnm._FilterDatabase" localSheetId="2" hidden="1">DS!$A$29:$A$101</definedName>
    <definedName name="_xlnm._FilterDatabase" localSheetId="3" hidden="1">DS.19!$A$29:$A$101</definedName>
    <definedName name="_xlnm._FilterDatabase" localSheetId="7" hidden="1">FX.12!$A$29:$A$100</definedName>
    <definedName name="_xlnm._FilterDatabase" localSheetId="8" hidden="1">PR!$A$30:$A$79</definedName>
    <definedName name="_xlnm._FilterDatabase" localSheetId="11" hidden="1">QR!$A$29:$A$69</definedName>
    <definedName name="_xlnm._FilterDatabase" localSheetId="12" hidden="1">QR_P.10!$A$29:$A$69</definedName>
    <definedName name="_xlnm._FilterDatabase" localSheetId="4" hidden="1">'R.16'!$A$29:$A$99</definedName>
    <definedName name="_xlnm._FilterDatabase" localSheetId="9" hidden="1">RI!$A$34:$A$119</definedName>
    <definedName name="_xlnm._FilterDatabase" localSheetId="10" hidden="1">'RI_P.10'!$A$29:$A$110</definedName>
    <definedName name="_xlnm.Print_Area" localSheetId="0">Info!$A$1:$N$60</definedName>
    <definedName name="_xlnm.Print_Area" localSheetId="4">'R.16'!$A$1:$N$109</definedName>
  </definedNames>
  <calcPr calcId="191029"/>
</workbook>
</file>

<file path=xl/calcChain.xml><?xml version="1.0" encoding="utf-8"?>
<calcChain xmlns="http://schemas.openxmlformats.org/spreadsheetml/2006/main">
  <c r="E49" i="24" l="1"/>
  <c r="E47" i="24"/>
  <c r="E45" i="24"/>
  <c r="E44" i="24"/>
  <c r="E42" i="24"/>
  <c r="E41" i="24"/>
  <c r="E40" i="24"/>
  <c r="E38" i="24"/>
  <c r="E36" i="24"/>
  <c r="E32" i="24"/>
  <c r="L114" i="1"/>
  <c r="L113" i="1"/>
  <c r="AA61" i="24" l="1"/>
  <c r="D61" i="24" s="1"/>
  <c r="AA60" i="24"/>
  <c r="D60" i="24" s="1"/>
  <c r="AA59" i="24"/>
  <c r="D59" i="24" s="1"/>
  <c r="AA51" i="24"/>
  <c r="D51" i="24" s="1"/>
  <c r="AA50" i="24"/>
  <c r="AA48" i="24"/>
  <c r="D48" i="24" s="1"/>
  <c r="AA46" i="24"/>
  <c r="D46" i="24" s="1"/>
  <c r="AA44" i="24"/>
  <c r="D44" i="24" s="1"/>
  <c r="AA41" i="24"/>
  <c r="D41" i="24" s="1"/>
  <c r="AA39" i="24"/>
  <c r="D39" i="24" s="1"/>
  <c r="AA37" i="24"/>
  <c r="D37" i="24" s="1"/>
  <c r="AA35" i="24"/>
  <c r="D35" i="24" s="1"/>
  <c r="AQ31" i="24"/>
  <c r="AI31" i="24"/>
  <c r="AA31" i="24"/>
  <c r="L66" i="24"/>
  <c r="E66" i="24"/>
  <c r="B66" i="24"/>
  <c r="L65" i="24"/>
  <c r="E65" i="24"/>
  <c r="B65" i="24"/>
  <c r="L64" i="24"/>
  <c r="E64" i="24"/>
  <c r="B64" i="24"/>
  <c r="L63" i="24"/>
  <c r="J63" i="24"/>
  <c r="E63" i="24"/>
  <c r="B63" i="24"/>
  <c r="L62" i="24"/>
  <c r="J62" i="24"/>
  <c r="E62" i="24"/>
  <c r="B62" i="24"/>
  <c r="L61" i="24"/>
  <c r="J61" i="24"/>
  <c r="E61" i="24"/>
  <c r="B61" i="24"/>
  <c r="L60" i="24"/>
  <c r="J60" i="24"/>
  <c r="E60" i="24"/>
  <c r="B60" i="24"/>
  <c r="L59" i="24"/>
  <c r="E59" i="24"/>
  <c r="B59" i="24"/>
  <c r="E51" i="24"/>
  <c r="B51" i="24"/>
  <c r="L50" i="24"/>
  <c r="E50" i="24"/>
  <c r="D50" i="24"/>
  <c r="B50" i="24"/>
  <c r="L41" i="24"/>
  <c r="B41" i="24"/>
  <c r="L48" i="24"/>
  <c r="E48" i="24"/>
  <c r="B48" i="24"/>
  <c r="L46" i="24"/>
  <c r="E46" i="24"/>
  <c r="B46" i="24"/>
  <c r="L44" i="24"/>
  <c r="B44" i="24"/>
  <c r="L39" i="24"/>
  <c r="E39" i="24"/>
  <c r="B39" i="24"/>
  <c r="L37" i="24"/>
  <c r="E37" i="24"/>
  <c r="B37" i="24"/>
  <c r="L35" i="24"/>
  <c r="E35" i="24"/>
  <c r="B35" i="24"/>
  <c r="S31" i="24" l="1"/>
  <c r="R31" i="24"/>
  <c r="H31" i="24"/>
  <c r="E31" i="24"/>
  <c r="B31" i="24"/>
  <c r="L31" i="24" l="1"/>
  <c r="AF61" i="20"/>
  <c r="D61" i="20" s="1"/>
  <c r="AF60" i="20"/>
  <c r="D60" i="20" s="1"/>
  <c r="AF59" i="20"/>
  <c r="D59" i="20" s="1"/>
  <c r="L66" i="20"/>
  <c r="E66" i="20"/>
  <c r="B66" i="20"/>
  <c r="L65" i="20"/>
  <c r="E65" i="20"/>
  <c r="B65" i="20"/>
  <c r="L64" i="20"/>
  <c r="E64" i="20"/>
  <c r="B64" i="20"/>
  <c r="L63" i="20"/>
  <c r="J63" i="20"/>
  <c r="E63" i="20"/>
  <c r="B63" i="20"/>
  <c r="L62" i="20"/>
  <c r="J62" i="20"/>
  <c r="E62" i="20"/>
  <c r="B62" i="20"/>
  <c r="L61" i="20"/>
  <c r="J61" i="20"/>
  <c r="E61" i="20"/>
  <c r="B61" i="20"/>
  <c r="L60" i="20"/>
  <c r="J60" i="20"/>
  <c r="E60" i="20"/>
  <c r="B60" i="20"/>
  <c r="L59" i="20"/>
  <c r="E59" i="20"/>
  <c r="B59" i="20"/>
  <c r="AS51" i="20"/>
  <c r="AF51" i="20"/>
  <c r="E51" i="20" l="1"/>
  <c r="B51" i="20"/>
  <c r="E50" i="20"/>
  <c r="L50" i="20"/>
  <c r="D50" i="20"/>
  <c r="B50" i="20"/>
  <c r="E49" i="20"/>
  <c r="E48" i="20"/>
  <c r="L48" i="20"/>
  <c r="D48" i="20"/>
  <c r="B48" i="20"/>
  <c r="E45" i="20"/>
  <c r="E47" i="20"/>
  <c r="E42" i="20"/>
  <c r="E41" i="20"/>
  <c r="E46" i="20"/>
  <c r="E44" i="20"/>
  <c r="E40" i="20"/>
  <c r="E39" i="20"/>
  <c r="L41" i="20"/>
  <c r="D41" i="20"/>
  <c r="B41" i="20"/>
  <c r="L46" i="20"/>
  <c r="D46" i="20"/>
  <c r="B46" i="20"/>
  <c r="L44" i="20"/>
  <c r="D44" i="20"/>
  <c r="B44" i="20"/>
  <c r="E38" i="20"/>
  <c r="E37" i="20"/>
  <c r="E36" i="20"/>
  <c r="E35" i="20"/>
  <c r="L39" i="20"/>
  <c r="D39" i="20"/>
  <c r="B39" i="20"/>
  <c r="L35" i="20"/>
  <c r="D35" i="20"/>
  <c r="B35" i="20"/>
  <c r="L37" i="20"/>
  <c r="D37" i="20"/>
  <c r="B37" i="20"/>
  <c r="E31" i="20" l="1"/>
  <c r="E32" i="20"/>
  <c r="BF31" i="20"/>
  <c r="AS31" i="20"/>
  <c r="AF31" i="20"/>
  <c r="H31" i="20"/>
  <c r="B31" i="20"/>
  <c r="AA101" i="22"/>
  <c r="D101" i="22" s="1"/>
  <c r="AA100" i="22"/>
  <c r="D100" i="22" s="1"/>
  <c r="AA94" i="22"/>
  <c r="D94" i="22" s="1"/>
  <c r="AA93" i="22"/>
  <c r="D93" i="22" s="1"/>
  <c r="AA92" i="22"/>
  <c r="D92" i="22" s="1"/>
  <c r="AF101" i="22"/>
  <c r="J101" i="22"/>
  <c r="E101" i="22"/>
  <c r="B101" i="22"/>
  <c r="AF100" i="22"/>
  <c r="J100" i="22"/>
  <c r="E100" i="22"/>
  <c r="B100" i="22"/>
  <c r="A286" i="23"/>
  <c r="A285" i="23"/>
  <c r="A284" i="23"/>
  <c r="E105" i="22"/>
  <c r="B105" i="22"/>
  <c r="E104" i="22"/>
  <c r="B104" i="22"/>
  <c r="J103" i="22"/>
  <c r="E103" i="22"/>
  <c r="B103" i="22"/>
  <c r="E85" i="1"/>
  <c r="E77" i="22"/>
  <c r="AF85" i="22"/>
  <c r="R85" i="22"/>
  <c r="E85" i="22"/>
  <c r="B85" i="22"/>
  <c r="B84" i="22"/>
  <c r="E84" i="22"/>
  <c r="R84" i="22"/>
  <c r="AA84" i="22"/>
  <c r="AJ84" i="22"/>
  <c r="AS84" i="22"/>
  <c r="D84" i="22" s="1"/>
  <c r="BB84" i="22"/>
  <c r="E62" i="22"/>
  <c r="E70" i="1"/>
  <c r="E59" i="22"/>
  <c r="E67" i="1"/>
  <c r="E114" i="1"/>
  <c r="B114" i="1"/>
  <c r="E113" i="1"/>
  <c r="B113" i="1"/>
  <c r="J110" i="1"/>
  <c r="E110" i="1"/>
  <c r="AF110" i="1"/>
  <c r="D110" i="1" s="1"/>
  <c r="B110" i="1"/>
  <c r="E109" i="1"/>
  <c r="J109" i="1"/>
  <c r="AF109" i="1"/>
  <c r="D109" i="1" s="1"/>
  <c r="B109" i="1"/>
  <c r="E93" i="1"/>
  <c r="AF93" i="1"/>
  <c r="D93" i="1" s="1"/>
  <c r="R93" i="1"/>
  <c r="B93" i="1"/>
  <c r="E71" i="22"/>
  <c r="E79" i="1"/>
  <c r="E43" i="24"/>
  <c r="E43" i="20"/>
  <c r="E70" i="22"/>
  <c r="E78" i="1"/>
  <c r="L85" i="22" l="1"/>
  <c r="E88" i="22"/>
  <c r="E96" i="1"/>
  <c r="E75" i="19" l="1"/>
  <c r="B75" i="19"/>
  <c r="E74" i="19"/>
  <c r="B74" i="19"/>
  <c r="E40" i="19"/>
  <c r="D47" i="18"/>
  <c r="D49" i="16"/>
  <c r="D48" i="16"/>
  <c r="D49" i="21"/>
  <c r="D48" i="21"/>
  <c r="D49" i="15"/>
  <c r="D48" i="15"/>
  <c r="L51" i="18"/>
  <c r="E51" i="18"/>
  <c r="B51" i="18"/>
  <c r="L50" i="18"/>
  <c r="E50" i="18"/>
  <c r="B50" i="18"/>
  <c r="L54" i="17"/>
  <c r="E54" i="17"/>
  <c r="B54" i="17"/>
  <c r="L53" i="17"/>
  <c r="E53" i="17"/>
  <c r="B53" i="17"/>
  <c r="L52" i="16"/>
  <c r="E52" i="16"/>
  <c r="B52" i="16"/>
  <c r="L51" i="16"/>
  <c r="E51" i="16"/>
  <c r="B51" i="16"/>
  <c r="L50" i="14"/>
  <c r="E50" i="14"/>
  <c r="B50" i="14"/>
  <c r="L49" i="14"/>
  <c r="E49" i="14"/>
  <c r="B49" i="14"/>
  <c r="L52" i="21"/>
  <c r="E52" i="21"/>
  <c r="B52" i="21"/>
  <c r="L51" i="21"/>
  <c r="E51" i="21"/>
  <c r="B51" i="21"/>
  <c r="B53" i="21"/>
  <c r="D53" i="21"/>
  <c r="E53" i="21"/>
  <c r="L53" i="21"/>
  <c r="E58" i="24"/>
  <c r="E57" i="24"/>
  <c r="E56" i="24"/>
  <c r="E55" i="24"/>
  <c r="E54" i="24"/>
  <c r="E53" i="24"/>
  <c r="E52" i="24"/>
  <c r="E34" i="24"/>
  <c r="E33" i="24"/>
  <c r="M1" i="24"/>
  <c r="E58" i="20"/>
  <c r="E57" i="20"/>
  <c r="E56" i="20"/>
  <c r="E55" i="20"/>
  <c r="E54" i="20"/>
  <c r="E53" i="20"/>
  <c r="E52" i="20"/>
  <c r="E34" i="20"/>
  <c r="E33" i="20"/>
  <c r="M1" i="20"/>
  <c r="E107" i="22"/>
  <c r="E106" i="22"/>
  <c r="E102" i="22"/>
  <c r="E99" i="22"/>
  <c r="E98" i="22"/>
  <c r="E97" i="22"/>
  <c r="E96" i="22"/>
  <c r="E95" i="22"/>
  <c r="E94" i="22"/>
  <c r="E93" i="22"/>
  <c r="E92" i="22"/>
  <c r="E91" i="22"/>
  <c r="E90" i="22"/>
  <c r="E89" i="22"/>
  <c r="E87" i="22"/>
  <c r="E86" i="22"/>
  <c r="E83" i="22"/>
  <c r="E82" i="22"/>
  <c r="E81" i="22"/>
  <c r="E80" i="22"/>
  <c r="E79" i="22"/>
  <c r="E78" i="22"/>
  <c r="E76" i="22"/>
  <c r="E75" i="22"/>
  <c r="E74" i="22"/>
  <c r="E73" i="22"/>
  <c r="E72" i="22"/>
  <c r="E69" i="22"/>
  <c r="E68" i="22"/>
  <c r="E67" i="22"/>
  <c r="E66" i="22"/>
  <c r="E65" i="22"/>
  <c r="E64" i="22"/>
  <c r="E63" i="22"/>
  <c r="E61" i="22"/>
  <c r="E60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M1" i="22"/>
  <c r="E116" i="1"/>
  <c r="E115" i="1"/>
  <c r="E112" i="1"/>
  <c r="E111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5" i="1"/>
  <c r="E94" i="1"/>
  <c r="E92" i="1"/>
  <c r="E91" i="1"/>
  <c r="E90" i="1"/>
  <c r="E89" i="1"/>
  <c r="E88" i="1"/>
  <c r="E87" i="1"/>
  <c r="E86" i="1"/>
  <c r="E84" i="1"/>
  <c r="E83" i="1"/>
  <c r="E82" i="1"/>
  <c r="E81" i="1"/>
  <c r="E80" i="1"/>
  <c r="E77" i="1"/>
  <c r="E76" i="1"/>
  <c r="E75" i="1"/>
  <c r="E74" i="1"/>
  <c r="E73" i="1"/>
  <c r="E72" i="1"/>
  <c r="E71" i="1"/>
  <c r="E69" i="1"/>
  <c r="E68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M1" i="1"/>
  <c r="E76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7" i="19"/>
  <c r="E46" i="19"/>
  <c r="E45" i="19"/>
  <c r="E43" i="19"/>
  <c r="E42" i="19"/>
  <c r="E41" i="19"/>
  <c r="E39" i="19"/>
  <c r="E38" i="19"/>
  <c r="E37" i="19"/>
  <c r="E36" i="19"/>
  <c r="E35" i="19"/>
  <c r="M1" i="19"/>
  <c r="E96" i="18"/>
  <c r="E95" i="18"/>
  <c r="E94" i="18"/>
  <c r="E93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69" i="18"/>
  <c r="E68" i="18"/>
  <c r="E67" i="18"/>
  <c r="E66" i="18"/>
  <c r="E65" i="18"/>
  <c r="E64" i="18"/>
  <c r="E63" i="18"/>
  <c r="E62" i="18"/>
  <c r="E61" i="18"/>
  <c r="E60" i="18"/>
  <c r="E59" i="18"/>
  <c r="E57" i="18"/>
  <c r="E56" i="18"/>
  <c r="E55" i="18"/>
  <c r="E54" i="18"/>
  <c r="E53" i="18"/>
  <c r="E52" i="18"/>
  <c r="E49" i="18"/>
  <c r="E48" i="18"/>
  <c r="E47" i="18"/>
  <c r="E46" i="18"/>
  <c r="E33" i="18"/>
  <c r="E32" i="18"/>
  <c r="E31" i="18"/>
  <c r="M1" i="18"/>
  <c r="E99" i="17"/>
  <c r="E98" i="17"/>
  <c r="E97" i="17"/>
  <c r="E96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2" i="17"/>
  <c r="E71" i="17"/>
  <c r="E70" i="17"/>
  <c r="E69" i="17"/>
  <c r="E68" i="17"/>
  <c r="E67" i="17"/>
  <c r="E66" i="17"/>
  <c r="E65" i="17"/>
  <c r="E64" i="17"/>
  <c r="E63" i="17"/>
  <c r="E62" i="17"/>
  <c r="E60" i="17"/>
  <c r="E59" i="17"/>
  <c r="E58" i="17"/>
  <c r="E57" i="17"/>
  <c r="E56" i="17"/>
  <c r="E55" i="17"/>
  <c r="E52" i="17"/>
  <c r="E51" i="17"/>
  <c r="E50" i="17"/>
  <c r="E49" i="17"/>
  <c r="E48" i="17"/>
  <c r="E35" i="17"/>
  <c r="E34" i="17"/>
  <c r="E33" i="17"/>
  <c r="E32" i="17"/>
  <c r="E31" i="17"/>
  <c r="M1" i="17"/>
  <c r="E97" i="16"/>
  <c r="E96" i="16"/>
  <c r="E95" i="16"/>
  <c r="E94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0" i="16"/>
  <c r="E69" i="16"/>
  <c r="E68" i="16"/>
  <c r="E67" i="16"/>
  <c r="E66" i="16"/>
  <c r="E65" i="16"/>
  <c r="E64" i="16"/>
  <c r="E63" i="16"/>
  <c r="E62" i="16"/>
  <c r="E61" i="16"/>
  <c r="E60" i="16"/>
  <c r="E58" i="16"/>
  <c r="E57" i="16"/>
  <c r="E56" i="16"/>
  <c r="E55" i="16"/>
  <c r="E54" i="16"/>
  <c r="E53" i="16"/>
  <c r="E50" i="16"/>
  <c r="E49" i="16"/>
  <c r="E48" i="16"/>
  <c r="E47" i="16"/>
  <c r="E34" i="16"/>
  <c r="E33" i="16"/>
  <c r="E32" i="16"/>
  <c r="E31" i="16"/>
  <c r="M1" i="16"/>
  <c r="E95" i="14"/>
  <c r="E94" i="14"/>
  <c r="E93" i="14"/>
  <c r="E92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8" i="14"/>
  <c r="E67" i="14"/>
  <c r="E66" i="14"/>
  <c r="E65" i="14"/>
  <c r="E64" i="14"/>
  <c r="E63" i="14"/>
  <c r="E62" i="14"/>
  <c r="E61" i="14"/>
  <c r="E60" i="14"/>
  <c r="E59" i="14"/>
  <c r="E58" i="14"/>
  <c r="E56" i="14"/>
  <c r="E55" i="14"/>
  <c r="E54" i="14"/>
  <c r="E53" i="14"/>
  <c r="E52" i="14"/>
  <c r="E51" i="14"/>
  <c r="E48" i="14"/>
  <c r="E47" i="14"/>
  <c r="E46" i="14"/>
  <c r="E45" i="14"/>
  <c r="E32" i="14"/>
  <c r="E31" i="14"/>
  <c r="M1" i="14"/>
  <c r="E97" i="21"/>
  <c r="E96" i="21"/>
  <c r="E95" i="21"/>
  <c r="E94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0" i="21"/>
  <c r="E69" i="21"/>
  <c r="E68" i="21"/>
  <c r="E67" i="21"/>
  <c r="E66" i="21"/>
  <c r="E65" i="21"/>
  <c r="E64" i="21"/>
  <c r="E63" i="21"/>
  <c r="E62" i="21"/>
  <c r="E61" i="21"/>
  <c r="E60" i="21"/>
  <c r="E58" i="21"/>
  <c r="E57" i="21"/>
  <c r="E56" i="21"/>
  <c r="E55" i="21"/>
  <c r="E54" i="21"/>
  <c r="E50" i="21"/>
  <c r="E49" i="21"/>
  <c r="E48" i="21"/>
  <c r="E47" i="21"/>
  <c r="E34" i="21"/>
  <c r="E32" i="21"/>
  <c r="E31" i="21"/>
  <c r="M1" i="21"/>
  <c r="E97" i="15"/>
  <c r="E96" i="15"/>
  <c r="E95" i="15"/>
  <c r="E94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0" i="15"/>
  <c r="E69" i="15"/>
  <c r="E68" i="15"/>
  <c r="E67" i="15"/>
  <c r="E66" i="15"/>
  <c r="E65" i="15"/>
  <c r="E64" i="15"/>
  <c r="E63" i="15"/>
  <c r="E62" i="15"/>
  <c r="E61" i="15"/>
  <c r="E59" i="15"/>
  <c r="E58" i="15"/>
  <c r="E57" i="15"/>
  <c r="E56" i="15"/>
  <c r="E55" i="15"/>
  <c r="E54" i="15"/>
  <c r="E51" i="15"/>
  <c r="E50" i="15"/>
  <c r="E49" i="15"/>
  <c r="E48" i="15"/>
  <c r="E47" i="15"/>
  <c r="E34" i="15"/>
  <c r="E32" i="15"/>
  <c r="E31" i="15"/>
  <c r="M1" i="15"/>
  <c r="E101" i="13"/>
  <c r="E100" i="13"/>
  <c r="E99" i="13"/>
  <c r="E98" i="13"/>
  <c r="E97" i="13"/>
  <c r="E96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2" i="13"/>
  <c r="E71" i="13"/>
  <c r="E70" i="13"/>
  <c r="E69" i="13"/>
  <c r="E68" i="13"/>
  <c r="E67" i="13"/>
  <c r="E66" i="13"/>
  <c r="E65" i="13"/>
  <c r="E64" i="13"/>
  <c r="E63" i="13"/>
  <c r="E62" i="13"/>
  <c r="E60" i="13"/>
  <c r="E59" i="13"/>
  <c r="E58" i="13"/>
  <c r="E57" i="13"/>
  <c r="E56" i="13"/>
  <c r="E55" i="13"/>
  <c r="E52" i="13"/>
  <c r="E51" i="13"/>
  <c r="E50" i="13"/>
  <c r="E49" i="13"/>
  <c r="E48" i="13"/>
  <c r="M1" i="13"/>
  <c r="E45" i="18"/>
  <c r="E44" i="18"/>
  <c r="E47" i="17"/>
  <c r="E46" i="17"/>
  <c r="E46" i="16"/>
  <c r="E45" i="16"/>
  <c r="E44" i="14"/>
  <c r="E43" i="14"/>
  <c r="E46" i="21"/>
  <c r="E45" i="21"/>
  <c r="E46" i="15"/>
  <c r="E45" i="15"/>
  <c r="E47" i="13"/>
  <c r="E46" i="13"/>
  <c r="E43" i="18"/>
  <c r="E45" i="17"/>
  <c r="E44" i="16"/>
  <c r="E42" i="14"/>
  <c r="E44" i="21"/>
  <c r="E44" i="15"/>
  <c r="E45" i="13"/>
  <c r="E42" i="18"/>
  <c r="E44" i="17"/>
  <c r="E43" i="16"/>
  <c r="E41" i="14"/>
  <c r="E43" i="21"/>
  <c r="E43" i="15"/>
  <c r="E44" i="13"/>
  <c r="E41" i="18"/>
  <c r="E43" i="17"/>
  <c r="E42" i="16"/>
  <c r="E40" i="14"/>
  <c r="E42" i="21"/>
  <c r="E42" i="15"/>
  <c r="E43" i="13"/>
  <c r="E40" i="18"/>
  <c r="E42" i="17"/>
  <c r="E41" i="16"/>
  <c r="E39" i="14"/>
  <c r="E41" i="21"/>
  <c r="E41" i="15"/>
  <c r="E42" i="13"/>
  <c r="E39" i="18"/>
  <c r="E41" i="17"/>
  <c r="E40" i="16"/>
  <c r="E38" i="14"/>
  <c r="E40" i="21"/>
  <c r="E40" i="15"/>
  <c r="E41" i="13"/>
  <c r="E45" i="22"/>
  <c r="E51" i="1"/>
  <c r="E38" i="18"/>
  <c r="E40" i="17"/>
  <c r="E39" i="16"/>
  <c r="E37" i="14"/>
  <c r="E39" i="21"/>
  <c r="E39" i="15"/>
  <c r="E40" i="13"/>
  <c r="E44" i="19"/>
  <c r="E37" i="18"/>
  <c r="E39" i="17"/>
  <c r="E38" i="16"/>
  <c r="E36" i="14"/>
  <c r="E38" i="21"/>
  <c r="E38" i="15"/>
  <c r="E39" i="13"/>
  <c r="E36" i="18"/>
  <c r="E38" i="17"/>
  <c r="E37" i="16"/>
  <c r="E35" i="14"/>
  <c r="E37" i="21"/>
  <c r="E37" i="15"/>
  <c r="E38" i="13"/>
  <c r="E35" i="18"/>
  <c r="E37" i="17"/>
  <c r="E36" i="16"/>
  <c r="E34" i="14"/>
  <c r="E36" i="21"/>
  <c r="E36" i="15"/>
  <c r="E37" i="13"/>
  <c r="E34" i="18"/>
  <c r="E36" i="17"/>
  <c r="E35" i="16"/>
  <c r="E33" i="14"/>
  <c r="E35" i="21"/>
  <c r="E35" i="15"/>
  <c r="E36" i="13"/>
  <c r="E35" i="13"/>
  <c r="E33" i="21"/>
  <c r="E33" i="15"/>
  <c r="E34" i="13"/>
  <c r="E33" i="13"/>
  <c r="E32" i="13"/>
  <c r="E31" i="13"/>
  <c r="L93" i="18"/>
  <c r="B93" i="18"/>
  <c r="L92" i="18"/>
  <c r="E92" i="18"/>
  <c r="B92" i="18"/>
  <c r="L96" i="17"/>
  <c r="B96" i="17"/>
  <c r="L95" i="17"/>
  <c r="E95" i="17"/>
  <c r="B95" i="17"/>
  <c r="L94" i="16"/>
  <c r="B94" i="16"/>
  <c r="L93" i="16"/>
  <c r="E93" i="16"/>
  <c r="B93" i="16"/>
  <c r="L92" i="14"/>
  <c r="B92" i="14"/>
  <c r="L91" i="14"/>
  <c r="E91" i="14"/>
  <c r="B91" i="14"/>
  <c r="L94" i="21"/>
  <c r="B94" i="21"/>
  <c r="L93" i="21"/>
  <c r="E93" i="21"/>
  <c r="B93" i="21"/>
  <c r="B94" i="15"/>
  <c r="E93" i="15"/>
  <c r="B93" i="15"/>
  <c r="E53" i="15"/>
  <c r="E52" i="15"/>
  <c r="L53" i="15"/>
  <c r="L52" i="15"/>
  <c r="B53" i="15"/>
  <c r="B52" i="15"/>
  <c r="E95" i="13"/>
  <c r="E54" i="13"/>
  <c r="E53" i="13"/>
  <c r="B53" i="13"/>
  <c r="B54" i="13"/>
  <c r="B140" i="2" l="1"/>
  <c r="R32" i="20" s="1"/>
  <c r="R88" i="22"/>
  <c r="G185" i="23"/>
  <c r="G186" i="23"/>
  <c r="G187" i="23"/>
  <c r="R83" i="22"/>
  <c r="R82" i="22"/>
  <c r="L82" i="22" s="1"/>
  <c r="R81" i="22"/>
  <c r="R80" i="22"/>
  <c r="L80" i="22" s="1"/>
  <c r="R79" i="22"/>
  <c r="R78" i="22"/>
  <c r="R77" i="22"/>
  <c r="R76" i="22"/>
  <c r="R75" i="22"/>
  <c r="R74" i="22"/>
  <c r="R73" i="22"/>
  <c r="R72" i="22"/>
  <c r="R62" i="22"/>
  <c r="R60" i="22"/>
  <c r="R54" i="22"/>
  <c r="R53" i="22"/>
  <c r="R52" i="22"/>
  <c r="R51" i="22"/>
  <c r="R49" i="22"/>
  <c r="R44" i="22"/>
  <c r="R43" i="22"/>
  <c r="R42" i="22"/>
  <c r="R41" i="22"/>
  <c r="R39" i="22"/>
  <c r="R38" i="22"/>
  <c r="R36" i="22"/>
  <c r="R35" i="22"/>
  <c r="L35" i="22" s="1"/>
  <c r="R33" i="22"/>
  <c r="R100" i="1"/>
  <c r="R96" i="1"/>
  <c r="A299" i="23"/>
  <c r="A290" i="2"/>
  <c r="R36" i="1"/>
  <c r="R91" i="22"/>
  <c r="A291" i="2"/>
  <c r="R95" i="1"/>
  <c r="L95" i="1" s="1"/>
  <c r="A300" i="23"/>
  <c r="AS87" i="22"/>
  <c r="AJ87" i="22"/>
  <c r="AA87" i="22"/>
  <c r="AT95" i="1"/>
  <c r="BH100" i="1"/>
  <c r="AT100" i="1"/>
  <c r="AF100" i="1"/>
  <c r="D100" i="1"/>
  <c r="BH94" i="1"/>
  <c r="G192" i="2"/>
  <c r="EN48" i="1"/>
  <c r="EN38" i="1"/>
  <c r="DZ88" i="1"/>
  <c r="DZ48" i="1"/>
  <c r="DZ38" i="1"/>
  <c r="DZ36" i="1"/>
  <c r="DL88" i="1"/>
  <c r="DL48" i="1"/>
  <c r="DL38" i="1"/>
  <c r="DL36" i="1"/>
  <c r="CX88" i="1"/>
  <c r="CX48" i="1"/>
  <c r="CX38" i="1"/>
  <c r="CX36" i="1"/>
  <c r="CJ90" i="1"/>
  <c r="CJ88" i="1"/>
  <c r="CJ80" i="1"/>
  <c r="CJ70" i="1"/>
  <c r="CJ62" i="1"/>
  <c r="CJ48" i="1"/>
  <c r="CJ38" i="1"/>
  <c r="CJ36" i="1"/>
  <c r="BV107" i="1"/>
  <c r="BV105" i="1"/>
  <c r="BV98" i="1"/>
  <c r="BV92" i="1"/>
  <c r="BV90" i="1"/>
  <c r="BV88" i="1"/>
  <c r="BV83" i="1"/>
  <c r="BV82" i="1"/>
  <c r="BV81" i="1"/>
  <c r="BV80" i="1"/>
  <c r="BV70" i="1"/>
  <c r="BV67" i="1"/>
  <c r="BV62" i="1"/>
  <c r="BV61" i="1"/>
  <c r="BV60" i="1"/>
  <c r="BV56" i="1"/>
  <c r="BV55" i="1"/>
  <c r="BV54" i="1"/>
  <c r="BV53" i="1"/>
  <c r="BV48" i="1"/>
  <c r="BV47" i="1"/>
  <c r="BV46" i="1"/>
  <c r="BV43" i="1"/>
  <c r="BV40" i="1"/>
  <c r="BV38" i="1"/>
  <c r="BV37" i="1"/>
  <c r="BV36" i="1"/>
  <c r="BH108" i="1"/>
  <c r="BH107" i="1"/>
  <c r="AT107" i="1"/>
  <c r="AF108" i="1"/>
  <c r="AF107" i="1"/>
  <c r="AT108" i="1"/>
  <c r="BH106" i="1"/>
  <c r="BH105" i="1"/>
  <c r="BH98" i="1"/>
  <c r="BH96" i="1"/>
  <c r="BH92" i="1"/>
  <c r="BH91" i="1"/>
  <c r="BH90" i="1"/>
  <c r="BH88" i="1"/>
  <c r="BH86" i="1"/>
  <c r="BH85" i="1"/>
  <c r="BH84" i="1"/>
  <c r="BH83" i="1"/>
  <c r="BH82" i="1"/>
  <c r="BH81" i="1"/>
  <c r="BH80" i="1"/>
  <c r="BH70" i="1"/>
  <c r="BH67" i="1"/>
  <c r="BH62" i="1"/>
  <c r="BH61" i="1"/>
  <c r="BH60" i="1"/>
  <c r="BH57" i="1"/>
  <c r="BH55" i="1"/>
  <c r="BH54" i="1"/>
  <c r="BH53" i="1"/>
  <c r="BH49" i="1"/>
  <c r="BH48" i="1"/>
  <c r="BH47" i="1"/>
  <c r="BH46" i="1"/>
  <c r="BH43" i="1"/>
  <c r="BH40" i="1"/>
  <c r="BH39" i="1"/>
  <c r="BH38" i="1"/>
  <c r="BH37" i="1"/>
  <c r="BH36" i="1"/>
  <c r="AT106" i="1"/>
  <c r="AT105" i="1"/>
  <c r="AT101" i="1"/>
  <c r="AT99" i="1"/>
  <c r="AT98" i="1"/>
  <c r="AT96" i="1"/>
  <c r="AT94" i="1"/>
  <c r="AT92" i="1"/>
  <c r="AT91" i="1"/>
  <c r="AT90" i="1"/>
  <c r="AT88" i="1"/>
  <c r="AT85" i="1"/>
  <c r="AT86" i="1"/>
  <c r="AT84" i="1"/>
  <c r="AT83" i="1"/>
  <c r="AT82" i="1"/>
  <c r="AT81" i="1"/>
  <c r="AT80" i="1"/>
  <c r="AT70" i="1"/>
  <c r="AT67" i="1"/>
  <c r="AT62" i="1"/>
  <c r="AT61" i="1"/>
  <c r="AT60" i="1"/>
  <c r="AT57" i="1"/>
  <c r="AT56" i="1"/>
  <c r="AT55" i="1"/>
  <c r="AT54" i="1"/>
  <c r="AT53" i="1"/>
  <c r="AT49" i="1"/>
  <c r="AT48" i="1"/>
  <c r="AT47" i="1"/>
  <c r="AT46" i="1"/>
  <c r="AT43" i="1"/>
  <c r="AT40" i="1"/>
  <c r="AT39" i="1"/>
  <c r="AT38" i="1"/>
  <c r="AT37" i="1"/>
  <c r="AT36" i="1"/>
  <c r="AF106" i="1"/>
  <c r="D106" i="1" s="1"/>
  <c r="AF105" i="1"/>
  <c r="AF103" i="1"/>
  <c r="AF102" i="1"/>
  <c r="D102" i="1" s="1"/>
  <c r="AF101" i="1"/>
  <c r="AF99" i="1"/>
  <c r="AF98" i="1"/>
  <c r="AF96" i="1"/>
  <c r="AF95" i="1"/>
  <c r="AF94" i="1"/>
  <c r="AF92" i="1"/>
  <c r="D92" i="1" s="1"/>
  <c r="AF91" i="1"/>
  <c r="AF90" i="1"/>
  <c r="AF88" i="1"/>
  <c r="AF89" i="1"/>
  <c r="AF86" i="1"/>
  <c r="AF85" i="1"/>
  <c r="AF84" i="1"/>
  <c r="AF83" i="1"/>
  <c r="AF82" i="1"/>
  <c r="AF81" i="1"/>
  <c r="D81" i="1" s="1"/>
  <c r="AF80" i="1"/>
  <c r="D80" i="1" s="1"/>
  <c r="AF79" i="1"/>
  <c r="D79" i="1" s="1"/>
  <c r="AF76" i="1"/>
  <c r="D76" i="1" s="1"/>
  <c r="AF70" i="1"/>
  <c r="AF69" i="1"/>
  <c r="AF68" i="1"/>
  <c r="D68" i="1" s="1"/>
  <c r="AF67" i="1"/>
  <c r="AF66" i="1"/>
  <c r="D66" i="1" s="1"/>
  <c r="AF65" i="1"/>
  <c r="D65" i="1" s="1"/>
  <c r="AF64" i="1"/>
  <c r="D64" i="1" s="1"/>
  <c r="AF63" i="1"/>
  <c r="D63" i="1" s="1"/>
  <c r="AF62" i="1"/>
  <c r="AF61" i="1"/>
  <c r="AF60" i="1"/>
  <c r="D60" i="1" s="1"/>
  <c r="AF59" i="1"/>
  <c r="AF58" i="1"/>
  <c r="AF57" i="1"/>
  <c r="AF56" i="1"/>
  <c r="D56" i="1" s="1"/>
  <c r="AF55" i="1"/>
  <c r="AF54" i="1"/>
  <c r="AF53" i="1"/>
  <c r="AF52" i="1"/>
  <c r="D52" i="1" s="1"/>
  <c r="AF50" i="1"/>
  <c r="D50" i="1" s="1"/>
  <c r="AF49" i="1"/>
  <c r="AF48" i="1"/>
  <c r="D48" i="1" s="1"/>
  <c r="AF47" i="1"/>
  <c r="D47" i="1" s="1"/>
  <c r="AF46" i="1"/>
  <c r="D46" i="1" s="1"/>
  <c r="AF45" i="1"/>
  <c r="D45" i="1" s="1"/>
  <c r="AF44" i="1"/>
  <c r="D44" i="1" s="1"/>
  <c r="AF43" i="1"/>
  <c r="AF41" i="1"/>
  <c r="D41" i="1" s="1"/>
  <c r="AF40" i="1"/>
  <c r="AF39" i="1"/>
  <c r="AF38" i="1"/>
  <c r="AF37" i="1"/>
  <c r="AF36" i="1"/>
  <c r="A111" i="23"/>
  <c r="L16" i="22"/>
  <c r="L17" i="22"/>
  <c r="AI45" i="24"/>
  <c r="AI42" i="24"/>
  <c r="AA49" i="24"/>
  <c r="D49" i="24" s="1"/>
  <c r="AA47" i="24"/>
  <c r="D47" i="24" s="1"/>
  <c r="AA45" i="24"/>
  <c r="AA42" i="24"/>
  <c r="AA40" i="24"/>
  <c r="AA38" i="24"/>
  <c r="D38" i="24" s="1"/>
  <c r="AA36" i="24"/>
  <c r="D36" i="24" s="1"/>
  <c r="AQ32" i="24"/>
  <c r="AI32" i="24"/>
  <c r="AA32" i="24"/>
  <c r="J18" i="24"/>
  <c r="J17" i="24"/>
  <c r="J16" i="24"/>
  <c r="G18" i="24"/>
  <c r="G19" i="24"/>
  <c r="BK82" i="22"/>
  <c r="BB82" i="22"/>
  <c r="AS89" i="22"/>
  <c r="AS88" i="22"/>
  <c r="AS83" i="22"/>
  <c r="AS82" i="22"/>
  <c r="AA40" i="22"/>
  <c r="D40" i="22" s="1"/>
  <c r="CC33" i="22"/>
  <c r="BB96" i="22"/>
  <c r="AS97" i="22"/>
  <c r="AS96" i="22"/>
  <c r="D96" i="22" s="1"/>
  <c r="CL80" i="22"/>
  <c r="CC80" i="22"/>
  <c r="BT80" i="22"/>
  <c r="BK80" i="22"/>
  <c r="BB80" i="22"/>
  <c r="BB74" i="22"/>
  <c r="BB73" i="22"/>
  <c r="BB72" i="22"/>
  <c r="AS80" i="22"/>
  <c r="AS78" i="22"/>
  <c r="AS77" i="22"/>
  <c r="AS75" i="22"/>
  <c r="AS74" i="22"/>
  <c r="D74" i="22" s="1"/>
  <c r="AS73" i="22"/>
  <c r="AS72" i="22"/>
  <c r="D72" i="22" s="1"/>
  <c r="CL43" i="22"/>
  <c r="CC43" i="22"/>
  <c r="BT43" i="22"/>
  <c r="D43" i="22" s="1"/>
  <c r="BK43" i="22"/>
  <c r="BB62" i="22"/>
  <c r="AS62" i="22"/>
  <c r="D62" i="22" s="1"/>
  <c r="AS59" i="22"/>
  <c r="AS54" i="22"/>
  <c r="AS53" i="22"/>
  <c r="AS52" i="22"/>
  <c r="AS51" i="22"/>
  <c r="AS49" i="22"/>
  <c r="AS48" i="22"/>
  <c r="AS47" i="22"/>
  <c r="BB43" i="22"/>
  <c r="BB42" i="22"/>
  <c r="BB41" i="22"/>
  <c r="AS44" i="22"/>
  <c r="AS43" i="22"/>
  <c r="AS42" i="22"/>
  <c r="D42" i="22" s="1"/>
  <c r="AS41" i="22"/>
  <c r="D41" i="22" s="1"/>
  <c r="BB38" i="22"/>
  <c r="AS38" i="22"/>
  <c r="D38" i="22" s="1"/>
  <c r="CU33" i="22"/>
  <c r="CL33" i="22"/>
  <c r="BT33" i="22"/>
  <c r="BK33" i="22"/>
  <c r="BB35" i="22"/>
  <c r="BB33" i="22"/>
  <c r="BB32" i="22"/>
  <c r="BB31" i="22"/>
  <c r="AS35" i="22"/>
  <c r="AS34" i="22"/>
  <c r="D34" i="22" s="1"/>
  <c r="AS33" i="22"/>
  <c r="AS32" i="22"/>
  <c r="D32" i="22" s="1"/>
  <c r="AS31" i="22"/>
  <c r="D31" i="22" s="1"/>
  <c r="AA97" i="22"/>
  <c r="AA96" i="22"/>
  <c r="AJ97" i="22"/>
  <c r="D97" i="22" s="1"/>
  <c r="AJ96" i="22"/>
  <c r="AJ91" i="22"/>
  <c r="AJ89" i="22"/>
  <c r="D89" i="22" s="1"/>
  <c r="AJ88" i="22"/>
  <c r="D88" i="22" s="1"/>
  <c r="AJ86" i="22"/>
  <c r="AJ83" i="22"/>
  <c r="D83" i="22" s="1"/>
  <c r="AJ82" i="22"/>
  <c r="AJ80" i="22"/>
  <c r="AJ78" i="22"/>
  <c r="D78" i="22" s="1"/>
  <c r="AJ77" i="22"/>
  <c r="D77" i="22" s="1"/>
  <c r="AJ76" i="22"/>
  <c r="D76" i="22" s="1"/>
  <c r="AJ75" i="22"/>
  <c r="D75" i="22" s="1"/>
  <c r="AJ74" i="22"/>
  <c r="AJ73" i="22"/>
  <c r="AJ72" i="22"/>
  <c r="AJ62" i="22"/>
  <c r="AJ59" i="22"/>
  <c r="D59" i="22" s="1"/>
  <c r="AJ54" i="22"/>
  <c r="D54" i="22" s="1"/>
  <c r="AJ53" i="22"/>
  <c r="D53" i="22" s="1"/>
  <c r="AJ52" i="22"/>
  <c r="D52" i="22" s="1"/>
  <c r="AJ51" i="22"/>
  <c r="AJ50" i="22"/>
  <c r="AJ49" i="22"/>
  <c r="D49" i="22" s="1"/>
  <c r="AJ48" i="22"/>
  <c r="AJ47" i="22"/>
  <c r="AJ44" i="22"/>
  <c r="AJ43" i="22"/>
  <c r="AJ42" i="22"/>
  <c r="AJ41" i="22"/>
  <c r="AJ38" i="22"/>
  <c r="AJ35" i="22"/>
  <c r="AJ34" i="22"/>
  <c r="AJ33" i="22"/>
  <c r="AJ32" i="22"/>
  <c r="AJ31" i="22"/>
  <c r="AA38" i="22"/>
  <c r="AA35" i="22"/>
  <c r="AA34" i="22"/>
  <c r="AA33" i="22"/>
  <c r="AA32" i="22"/>
  <c r="AA31" i="22"/>
  <c r="D57" i="17"/>
  <c r="D56" i="15"/>
  <c r="EO55" i="18"/>
  <c r="DT55" i="18"/>
  <c r="CY55" i="18"/>
  <c r="CD55" i="18"/>
  <c r="BI55" i="18"/>
  <c r="AN55" i="18"/>
  <c r="GE54" i="18"/>
  <c r="FJ54" i="18"/>
  <c r="EO54" i="18"/>
  <c r="DT54" i="18"/>
  <c r="D54" i="18"/>
  <c r="CY54" i="18"/>
  <c r="CD54" i="18"/>
  <c r="BI54" i="18"/>
  <c r="AN54" i="18"/>
  <c r="QR53" i="18"/>
  <c r="PW53" i="18"/>
  <c r="PB53" i="18"/>
  <c r="D53" i="18"/>
  <c r="OG53" i="18"/>
  <c r="NL53" i="18"/>
  <c r="MQ53" i="18"/>
  <c r="LV53" i="18"/>
  <c r="LA53" i="18"/>
  <c r="KF53" i="18"/>
  <c r="JK53" i="18"/>
  <c r="IP53" i="18"/>
  <c r="HU53" i="18"/>
  <c r="GZ53" i="18"/>
  <c r="GE53" i="18"/>
  <c r="FJ53" i="18"/>
  <c r="EO53" i="18"/>
  <c r="DT53" i="18"/>
  <c r="CY53" i="18"/>
  <c r="CD53" i="18"/>
  <c r="BI53" i="18"/>
  <c r="AN53" i="18"/>
  <c r="EO58" i="17"/>
  <c r="DT58" i="17"/>
  <c r="CY58" i="17"/>
  <c r="CD58" i="17"/>
  <c r="BI58" i="17"/>
  <c r="AN58" i="17"/>
  <c r="GE57" i="17"/>
  <c r="FJ57" i="17"/>
  <c r="EO57" i="17"/>
  <c r="DT57" i="17"/>
  <c r="CY57" i="17"/>
  <c r="CD57" i="17"/>
  <c r="BI57" i="17"/>
  <c r="AN57" i="17"/>
  <c r="QR56" i="17"/>
  <c r="PW56" i="17"/>
  <c r="PB56" i="17"/>
  <c r="D56" i="17"/>
  <c r="OG56" i="17"/>
  <c r="NL56" i="17"/>
  <c r="MQ56" i="17"/>
  <c r="LV56" i="17"/>
  <c r="LA56" i="17"/>
  <c r="KF56" i="17"/>
  <c r="JK56" i="17"/>
  <c r="IP56" i="17"/>
  <c r="HU56" i="17"/>
  <c r="GZ56" i="17"/>
  <c r="GE56" i="17"/>
  <c r="FJ56" i="17"/>
  <c r="EO56" i="17"/>
  <c r="DT56" i="17"/>
  <c r="CY56" i="17"/>
  <c r="CD56" i="17"/>
  <c r="BI56" i="17"/>
  <c r="AN56" i="17"/>
  <c r="EO56" i="16"/>
  <c r="DT56" i="16"/>
  <c r="CY56" i="16"/>
  <c r="CD56" i="16"/>
  <c r="BI56" i="16"/>
  <c r="AN56" i="16"/>
  <c r="GE55" i="16"/>
  <c r="FJ55" i="16"/>
  <c r="EO55" i="16"/>
  <c r="DT55" i="16"/>
  <c r="D55" i="16"/>
  <c r="CY55" i="16"/>
  <c r="CD55" i="16"/>
  <c r="BI55" i="16"/>
  <c r="AN55" i="16"/>
  <c r="QR54" i="16"/>
  <c r="PW54" i="16"/>
  <c r="PB54" i="16"/>
  <c r="D54" i="16"/>
  <c r="OG54" i="16"/>
  <c r="NL54" i="16"/>
  <c r="MQ54" i="16"/>
  <c r="LV54" i="16"/>
  <c r="LA54" i="16"/>
  <c r="KF54" i="16"/>
  <c r="JK54" i="16"/>
  <c r="IP54" i="16"/>
  <c r="HU54" i="16"/>
  <c r="GZ54" i="16"/>
  <c r="GE54" i="16"/>
  <c r="FJ54" i="16"/>
  <c r="EO54" i="16"/>
  <c r="DT54" i="16"/>
  <c r="CY54" i="16"/>
  <c r="CD54" i="16"/>
  <c r="BI54" i="16"/>
  <c r="AN54" i="16"/>
  <c r="EO54" i="14"/>
  <c r="DT54" i="14"/>
  <c r="CY54" i="14"/>
  <c r="CD54" i="14"/>
  <c r="BI54" i="14"/>
  <c r="AN54" i="14"/>
  <c r="GE53" i="14"/>
  <c r="FJ53" i="14"/>
  <c r="D53" i="14"/>
  <c r="EO53" i="14"/>
  <c r="DT53" i="14"/>
  <c r="CY53" i="14"/>
  <c r="CD53" i="14"/>
  <c r="BI53" i="14"/>
  <c r="AN53" i="14"/>
  <c r="QR52" i="14"/>
  <c r="PW52" i="14"/>
  <c r="PB52" i="14"/>
  <c r="D52" i="14"/>
  <c r="OG52" i="14"/>
  <c r="NL52" i="14"/>
  <c r="MQ52" i="14"/>
  <c r="LV52" i="14"/>
  <c r="LA52" i="14"/>
  <c r="KF52" i="14"/>
  <c r="JK52" i="14"/>
  <c r="IP52" i="14"/>
  <c r="HU52" i="14"/>
  <c r="GZ52" i="14"/>
  <c r="GE52" i="14"/>
  <c r="FJ52" i="14"/>
  <c r="EO52" i="14"/>
  <c r="DT52" i="14"/>
  <c r="CY52" i="14"/>
  <c r="CD52" i="14"/>
  <c r="BI52" i="14"/>
  <c r="AN52" i="14"/>
  <c r="EO56" i="21"/>
  <c r="DT56" i="21"/>
  <c r="CY56" i="21"/>
  <c r="CD56" i="21"/>
  <c r="BI56" i="21"/>
  <c r="AN56" i="21"/>
  <c r="GE55" i="21"/>
  <c r="FJ55" i="21"/>
  <c r="EO55" i="21"/>
  <c r="DT55" i="21"/>
  <c r="D55" i="21"/>
  <c r="CY55" i="21"/>
  <c r="CD55" i="21"/>
  <c r="BI55" i="21"/>
  <c r="AN55" i="21"/>
  <c r="QR54" i="21"/>
  <c r="PW54" i="21"/>
  <c r="PB54" i="21"/>
  <c r="D54" i="21"/>
  <c r="OG54" i="21"/>
  <c r="NL54" i="21"/>
  <c r="MQ54" i="21"/>
  <c r="LV54" i="21"/>
  <c r="LA54" i="21"/>
  <c r="KF54" i="21"/>
  <c r="JK54" i="21"/>
  <c r="IP54" i="21"/>
  <c r="HU54" i="21"/>
  <c r="GZ54" i="21"/>
  <c r="GE54" i="21"/>
  <c r="FJ54" i="21"/>
  <c r="EO54" i="21"/>
  <c r="DT54" i="21"/>
  <c r="CY54" i="21"/>
  <c r="CD54" i="21"/>
  <c r="BI54" i="21"/>
  <c r="AN54" i="21"/>
  <c r="J19" i="18"/>
  <c r="J18" i="18"/>
  <c r="J19" i="17"/>
  <c r="J18" i="17"/>
  <c r="J19" i="21"/>
  <c r="J18" i="21"/>
  <c r="J19" i="16"/>
  <c r="J18" i="16"/>
  <c r="J19" i="14"/>
  <c r="J18" i="14"/>
  <c r="EO57" i="15"/>
  <c r="DT57" i="15"/>
  <c r="CY57" i="15"/>
  <c r="CD57" i="15"/>
  <c r="BI57" i="15"/>
  <c r="AN57" i="15"/>
  <c r="GE56" i="15"/>
  <c r="FJ56" i="15"/>
  <c r="EO56" i="15"/>
  <c r="DT56" i="15"/>
  <c r="CY56" i="15"/>
  <c r="CD56" i="15"/>
  <c r="BI56" i="15"/>
  <c r="AN56" i="15"/>
  <c r="QR55" i="15"/>
  <c r="PW55" i="15"/>
  <c r="PB55" i="15"/>
  <c r="D55" i="15"/>
  <c r="OG55" i="15"/>
  <c r="NL55" i="15"/>
  <c r="MQ55" i="15"/>
  <c r="LV55" i="15"/>
  <c r="LA55" i="15"/>
  <c r="KF55" i="15"/>
  <c r="JK55" i="15"/>
  <c r="IP55" i="15"/>
  <c r="HU55" i="15"/>
  <c r="GZ55" i="15"/>
  <c r="GE55" i="15"/>
  <c r="FJ55" i="15"/>
  <c r="EO55" i="15"/>
  <c r="DT55" i="15"/>
  <c r="CY55" i="15"/>
  <c r="CD55" i="15"/>
  <c r="BI55" i="15"/>
  <c r="AN55" i="15"/>
  <c r="J19" i="15"/>
  <c r="J18" i="15"/>
  <c r="AA91" i="22"/>
  <c r="D91" i="22" s="1"/>
  <c r="AA90" i="22"/>
  <c r="AA89" i="22"/>
  <c r="AA88" i="22"/>
  <c r="AA86" i="22"/>
  <c r="AA83" i="22"/>
  <c r="AA82" i="22"/>
  <c r="AA81" i="22"/>
  <c r="D81" i="22" s="1"/>
  <c r="AA80" i="22"/>
  <c r="AA78" i="22"/>
  <c r="AA77" i="22"/>
  <c r="AA76" i="22"/>
  <c r="AA75" i="22"/>
  <c r="AA74" i="22"/>
  <c r="AA73" i="22"/>
  <c r="AA72" i="22"/>
  <c r="AA71" i="22"/>
  <c r="D71" i="22" s="1"/>
  <c r="AA68" i="22"/>
  <c r="D68" i="22" s="1"/>
  <c r="AA62" i="22"/>
  <c r="AA61" i="22"/>
  <c r="AA60" i="22"/>
  <c r="AA59" i="22"/>
  <c r="AA58" i="22"/>
  <c r="D58" i="22" s="1"/>
  <c r="AA57" i="22"/>
  <c r="D57" i="22" s="1"/>
  <c r="AA56" i="22"/>
  <c r="D56" i="22" s="1"/>
  <c r="AA55" i="22"/>
  <c r="D55" i="22" s="1"/>
  <c r="AA54" i="22"/>
  <c r="AA53" i="22"/>
  <c r="AA52" i="22"/>
  <c r="AA51" i="22"/>
  <c r="AA50" i="22"/>
  <c r="AA49" i="22"/>
  <c r="AA48" i="22"/>
  <c r="AA47" i="22"/>
  <c r="AA46" i="22"/>
  <c r="D46" i="22" s="1"/>
  <c r="AA44" i="22"/>
  <c r="AA43" i="22"/>
  <c r="AA42" i="22"/>
  <c r="AA41" i="22"/>
  <c r="AA39" i="22"/>
  <c r="D39" i="22" s="1"/>
  <c r="AA36" i="22"/>
  <c r="D36" i="22" s="1"/>
  <c r="G22" i="22"/>
  <c r="G21" i="22"/>
  <c r="G20" i="22"/>
  <c r="G19" i="22"/>
  <c r="G18" i="22"/>
  <c r="G20" i="1"/>
  <c r="G19" i="1"/>
  <c r="G18" i="1"/>
  <c r="A133" i="2"/>
  <c r="D59" i="13"/>
  <c r="QR56" i="13"/>
  <c r="PW56" i="13"/>
  <c r="PB56" i="13"/>
  <c r="D56" i="13"/>
  <c r="OG56" i="13"/>
  <c r="NL56" i="13"/>
  <c r="MQ56" i="13"/>
  <c r="KF56" i="13"/>
  <c r="LA56" i="13"/>
  <c r="LV56" i="13"/>
  <c r="JK56" i="13"/>
  <c r="IP56" i="13"/>
  <c r="HU56" i="13"/>
  <c r="GZ56" i="13"/>
  <c r="GE57" i="13"/>
  <c r="GE56" i="13"/>
  <c r="FJ57" i="13"/>
  <c r="FJ56" i="13"/>
  <c r="EO57" i="13"/>
  <c r="EO56" i="13"/>
  <c r="DT57" i="13"/>
  <c r="D57" i="13"/>
  <c r="DT56" i="13"/>
  <c r="CY57" i="13"/>
  <c r="CY56" i="13"/>
  <c r="CD57" i="13"/>
  <c r="CD56" i="13"/>
  <c r="BI57" i="13"/>
  <c r="BI56" i="13"/>
  <c r="AN57" i="13"/>
  <c r="AN56" i="13"/>
  <c r="J18" i="13"/>
  <c r="J19" i="13"/>
  <c r="G17" i="22"/>
  <c r="G16" i="22"/>
  <c r="G17" i="24"/>
  <c r="G16" i="24"/>
  <c r="B95" i="22"/>
  <c r="R96" i="22"/>
  <c r="R54" i="1"/>
  <c r="R53" i="1"/>
  <c r="Q31" i="17"/>
  <c r="L38" i="16"/>
  <c r="L36" i="14"/>
  <c r="A2" i="23"/>
  <c r="R98" i="22"/>
  <c r="R31" i="22"/>
  <c r="R92" i="1"/>
  <c r="R70" i="1"/>
  <c r="R97" i="1"/>
  <c r="R107" i="1"/>
  <c r="R105" i="1"/>
  <c r="R43" i="1"/>
  <c r="R99" i="22"/>
  <c r="R97" i="22"/>
  <c r="R61" i="22"/>
  <c r="R62" i="1"/>
  <c r="R37" i="1"/>
  <c r="J52" i="1"/>
  <c r="A120" i="2"/>
  <c r="A119" i="2"/>
  <c r="R106" i="1"/>
  <c r="R48" i="22"/>
  <c r="R47" i="22"/>
  <c r="R32" i="22"/>
  <c r="R108" i="1"/>
  <c r="B37" i="1"/>
  <c r="R90" i="1"/>
  <c r="R40" i="1"/>
  <c r="L40" i="1" s="1"/>
  <c r="R38" i="1"/>
  <c r="B94" i="1"/>
  <c r="A286" i="2"/>
  <c r="A285" i="2"/>
  <c r="D33" i="19" s="1"/>
  <c r="G21" i="15"/>
  <c r="G20" i="15"/>
  <c r="G19" i="15"/>
  <c r="G18" i="15"/>
  <c r="J17" i="15"/>
  <c r="G17" i="15"/>
  <c r="J16" i="15"/>
  <c r="G16" i="15"/>
  <c r="G15" i="15"/>
  <c r="D31" i="13"/>
  <c r="B33" i="17"/>
  <c r="B32" i="17"/>
  <c r="B33" i="16"/>
  <c r="B32" i="16"/>
  <c r="R89" i="1"/>
  <c r="R52" i="1"/>
  <c r="R98" i="1"/>
  <c r="R99" i="1"/>
  <c r="R91" i="1"/>
  <c r="R88" i="1"/>
  <c r="L88" i="1" s="1"/>
  <c r="R87" i="1"/>
  <c r="R86" i="1"/>
  <c r="R85" i="1"/>
  <c r="R84" i="1"/>
  <c r="R83" i="1"/>
  <c r="R82" i="1"/>
  <c r="R81" i="1"/>
  <c r="R80" i="1"/>
  <c r="R75" i="1"/>
  <c r="L75" i="1" s="1"/>
  <c r="R73" i="1"/>
  <c r="L73" i="1" s="1"/>
  <c r="R72" i="1"/>
  <c r="R71" i="1"/>
  <c r="L71" i="1" s="1"/>
  <c r="R69" i="1"/>
  <c r="R68" i="1"/>
  <c r="R67" i="1"/>
  <c r="S61" i="1"/>
  <c r="R61" i="1"/>
  <c r="S60" i="1"/>
  <c r="R60" i="1"/>
  <c r="S57" i="1"/>
  <c r="R57" i="1"/>
  <c r="S56" i="1"/>
  <c r="R56" i="1"/>
  <c r="S58" i="1"/>
  <c r="L58" i="1" s="1"/>
  <c r="S59" i="1"/>
  <c r="R59" i="1"/>
  <c r="R58" i="1"/>
  <c r="S55" i="1"/>
  <c r="R55" i="1"/>
  <c r="R49" i="1"/>
  <c r="R48" i="1"/>
  <c r="R47" i="1"/>
  <c r="R46" i="1"/>
  <c r="R45" i="1"/>
  <c r="R44" i="1"/>
  <c r="R41" i="1"/>
  <c r="R39" i="1"/>
  <c r="EF92" i="22"/>
  <c r="A295" i="23"/>
  <c r="A294" i="23"/>
  <c r="A283" i="23"/>
  <c r="A282" i="23"/>
  <c r="A281" i="23"/>
  <c r="A280" i="23"/>
  <c r="G16" i="21"/>
  <c r="B94" i="22"/>
  <c r="B93" i="22"/>
  <c r="B92" i="22"/>
  <c r="R90" i="22"/>
  <c r="R89" i="22"/>
  <c r="R67" i="22"/>
  <c r="R65" i="22"/>
  <c r="L65" i="22" s="1"/>
  <c r="R64" i="22"/>
  <c r="R63" i="22"/>
  <c r="L63" i="22" s="1"/>
  <c r="B60" i="22"/>
  <c r="R59" i="22"/>
  <c r="S53" i="22"/>
  <c r="S52" i="22"/>
  <c r="S51" i="22"/>
  <c r="S50" i="22"/>
  <c r="R50" i="22"/>
  <c r="S49" i="22"/>
  <c r="R34" i="22"/>
  <c r="R40" i="22"/>
  <c r="R56" i="20"/>
  <c r="L56" i="20" s="1"/>
  <c r="R54" i="20"/>
  <c r="R53" i="20"/>
  <c r="L53" i="20" s="1"/>
  <c r="R52" i="20"/>
  <c r="L52" i="20" s="1"/>
  <c r="R45" i="20"/>
  <c r="L45" i="20" s="1"/>
  <c r="R42" i="20"/>
  <c r="R56" i="24"/>
  <c r="L56" i="24" s="1"/>
  <c r="R54" i="24"/>
  <c r="L54" i="24" s="1"/>
  <c r="R53" i="24"/>
  <c r="L53" i="24" s="1"/>
  <c r="R52" i="24"/>
  <c r="L52" i="24" s="1"/>
  <c r="R45" i="24"/>
  <c r="R42" i="24"/>
  <c r="L42" i="24" s="1"/>
  <c r="A146" i="23"/>
  <c r="L11" i="22"/>
  <c r="J11" i="22"/>
  <c r="G11" i="22"/>
  <c r="L11" i="20"/>
  <c r="J11" i="20"/>
  <c r="G11" i="20"/>
  <c r="L11" i="24"/>
  <c r="J11" i="24"/>
  <c r="G11" i="24"/>
  <c r="L11" i="1"/>
  <c r="J11" i="1"/>
  <c r="G11" i="1"/>
  <c r="B76" i="19"/>
  <c r="D73" i="19"/>
  <c r="D72" i="19"/>
  <c r="L49" i="19"/>
  <c r="L11" i="19"/>
  <c r="J11" i="19"/>
  <c r="G11" i="19"/>
  <c r="L11" i="18"/>
  <c r="J11" i="18"/>
  <c r="G11" i="18"/>
  <c r="L11" i="17"/>
  <c r="J11" i="17"/>
  <c r="G11" i="17"/>
  <c r="E33" i="19"/>
  <c r="E34" i="19"/>
  <c r="L37" i="18"/>
  <c r="L35" i="18"/>
  <c r="L48" i="18"/>
  <c r="L47" i="18"/>
  <c r="L55" i="18"/>
  <c r="L54" i="18"/>
  <c r="L53" i="18"/>
  <c r="L11" i="16"/>
  <c r="J11" i="16"/>
  <c r="G11" i="16"/>
  <c r="L11" i="14"/>
  <c r="J11" i="14"/>
  <c r="G11" i="14"/>
  <c r="L11" i="21"/>
  <c r="J11" i="21"/>
  <c r="G11" i="21"/>
  <c r="L100" i="15"/>
  <c r="L99" i="15"/>
  <c r="L11" i="15"/>
  <c r="J11" i="15"/>
  <c r="G11" i="15"/>
  <c r="H102" i="13"/>
  <c r="D52" i="13"/>
  <c r="D55" i="13"/>
  <c r="B86" i="13"/>
  <c r="B74" i="13"/>
  <c r="B37" i="13"/>
  <c r="A118" i="2"/>
  <c r="R35" i="13" s="1"/>
  <c r="A113" i="2"/>
  <c r="B35" i="13"/>
  <c r="L11" i="13"/>
  <c r="J11" i="13"/>
  <c r="J9" i="13"/>
  <c r="G11" i="13"/>
  <c r="J42" i="1"/>
  <c r="B24" i="13"/>
  <c r="J7" i="24"/>
  <c r="J7" i="20"/>
  <c r="J7" i="22"/>
  <c r="J6" i="22"/>
  <c r="J7" i="1"/>
  <c r="J7" i="19"/>
  <c r="J7" i="18"/>
  <c r="J7" i="17"/>
  <c r="J7" i="16"/>
  <c r="J7" i="14"/>
  <c r="J7" i="21"/>
  <c r="J7" i="15"/>
  <c r="J7" i="13"/>
  <c r="H26" i="24"/>
  <c r="H25" i="24"/>
  <c r="H24" i="24"/>
  <c r="B24" i="24"/>
  <c r="G23" i="24"/>
  <c r="A23" i="24"/>
  <c r="H26" i="20"/>
  <c r="H25" i="20"/>
  <c r="H24" i="20"/>
  <c r="B24" i="20"/>
  <c r="G23" i="20"/>
  <c r="A23" i="20"/>
  <c r="J26" i="22"/>
  <c r="J25" i="22"/>
  <c r="J24" i="22"/>
  <c r="B24" i="22"/>
  <c r="J23" i="22"/>
  <c r="A23" i="22"/>
  <c r="B32" i="1"/>
  <c r="B31" i="1"/>
  <c r="B30" i="1"/>
  <c r="B24" i="1"/>
  <c r="A29" i="1"/>
  <c r="A23" i="1"/>
  <c r="H27" i="19"/>
  <c r="H26" i="19"/>
  <c r="H25" i="19"/>
  <c r="B25" i="19"/>
  <c r="G24" i="19"/>
  <c r="A24" i="19"/>
  <c r="H26" i="18"/>
  <c r="H25" i="18"/>
  <c r="H24" i="18"/>
  <c r="B24" i="18"/>
  <c r="G23" i="18"/>
  <c r="A23" i="18"/>
  <c r="B24" i="17"/>
  <c r="B24" i="16"/>
  <c r="B24" i="14"/>
  <c r="B24" i="21"/>
  <c r="B24" i="15"/>
  <c r="H26" i="17"/>
  <c r="H25" i="17"/>
  <c r="H24" i="17"/>
  <c r="G23" i="17"/>
  <c r="A23" i="17"/>
  <c r="H26" i="16"/>
  <c r="H25" i="16"/>
  <c r="H24" i="16"/>
  <c r="G23" i="16"/>
  <c r="A23" i="16"/>
  <c r="H26" i="14"/>
  <c r="H25" i="14"/>
  <c r="H24" i="14"/>
  <c r="G23" i="14"/>
  <c r="A23" i="14"/>
  <c r="H26" i="21"/>
  <c r="H25" i="21"/>
  <c r="H24" i="21"/>
  <c r="G23" i="21"/>
  <c r="A23" i="21"/>
  <c r="H26" i="15"/>
  <c r="H25" i="15"/>
  <c r="H24" i="15"/>
  <c r="G23" i="15"/>
  <c r="A23" i="15"/>
  <c r="A29" i="15"/>
  <c r="A30" i="15"/>
  <c r="B30" i="15"/>
  <c r="C30" i="15"/>
  <c r="D30" i="15"/>
  <c r="E30" i="15"/>
  <c r="L30" i="15"/>
  <c r="M30" i="15"/>
  <c r="B31" i="15"/>
  <c r="D31" i="15"/>
  <c r="B32" i="15"/>
  <c r="D32" i="15"/>
  <c r="B33" i="15"/>
  <c r="B34" i="15"/>
  <c r="CU34" i="19"/>
  <c r="CA34" i="19"/>
  <c r="CU33" i="19"/>
  <c r="CA33" i="19"/>
  <c r="CU32" i="19"/>
  <c r="CA32" i="19"/>
  <c r="G23" i="13"/>
  <c r="H26" i="13"/>
  <c r="H25" i="13"/>
  <c r="H24" i="13"/>
  <c r="A23" i="13"/>
  <c r="D52" i="18"/>
  <c r="D55" i="17"/>
  <c r="D53" i="16"/>
  <c r="D51" i="14"/>
  <c r="D54" i="15"/>
  <c r="A278" i="23"/>
  <c r="A277" i="23"/>
  <c r="A283" i="2"/>
  <c r="A282" i="2"/>
  <c r="A151" i="2"/>
  <c r="A11" i="2"/>
  <c r="A10" i="2"/>
  <c r="B40" i="22"/>
  <c r="B45" i="1"/>
  <c r="B76" i="22"/>
  <c r="D84" i="1"/>
  <c r="B49" i="19"/>
  <c r="B50" i="19"/>
  <c r="B51" i="19"/>
  <c r="B91" i="18"/>
  <c r="B94" i="17"/>
  <c r="B92" i="16"/>
  <c r="B90" i="14"/>
  <c r="B92" i="21"/>
  <c r="B92" i="15"/>
  <c r="B69" i="21"/>
  <c r="B70" i="21"/>
  <c r="B71" i="21"/>
  <c r="B84" i="1"/>
  <c r="D99" i="1"/>
  <c r="D70" i="21"/>
  <c r="E32" i="19"/>
  <c r="E97" i="18"/>
  <c r="E100" i="17"/>
  <c r="E98" i="16"/>
  <c r="E96" i="14"/>
  <c r="E98" i="21"/>
  <c r="E98" i="15"/>
  <c r="E102" i="13"/>
  <c r="E70" i="18"/>
  <c r="E73" i="17"/>
  <c r="E71" i="16"/>
  <c r="E69" i="14"/>
  <c r="E71" i="21"/>
  <c r="E71" i="15"/>
  <c r="E73" i="13"/>
  <c r="A4" i="2"/>
  <c r="A3" i="2"/>
  <c r="A2" i="2"/>
  <c r="A12" i="2"/>
  <c r="D46" i="14" s="1"/>
  <c r="E58" i="18"/>
  <c r="E61" i="17"/>
  <c r="E59" i="16"/>
  <c r="E57" i="14"/>
  <c r="E59" i="21"/>
  <c r="E60" i="15"/>
  <c r="E61" i="13"/>
  <c r="D52" i="17"/>
  <c r="B52" i="17"/>
  <c r="K11" i="4"/>
  <c r="D70" i="18"/>
  <c r="B70" i="18"/>
  <c r="D73" i="17"/>
  <c r="B73" i="17"/>
  <c r="D71" i="16"/>
  <c r="B71" i="16"/>
  <c r="D69" i="14"/>
  <c r="B69" i="14"/>
  <c r="D71" i="21"/>
  <c r="D71" i="15"/>
  <c r="B71" i="15"/>
  <c r="D73" i="13"/>
  <c r="B73" i="13"/>
  <c r="M2" i="24"/>
  <c r="M2" i="22"/>
  <c r="D40" i="24"/>
  <c r="AI57" i="24"/>
  <c r="AA57" i="24"/>
  <c r="D57" i="24" s="1"/>
  <c r="AA56" i="24"/>
  <c r="D54" i="24"/>
  <c r="K78" i="24"/>
  <c r="A78" i="24"/>
  <c r="C71" i="24"/>
  <c r="B58" i="24"/>
  <c r="B57" i="24"/>
  <c r="I56" i="24"/>
  <c r="B56" i="24"/>
  <c r="J55" i="24"/>
  <c r="B55" i="24"/>
  <c r="I54" i="24"/>
  <c r="B54" i="24"/>
  <c r="I53" i="24"/>
  <c r="B53" i="24"/>
  <c r="I52" i="24"/>
  <c r="B52" i="24"/>
  <c r="B49" i="24"/>
  <c r="B47" i="24"/>
  <c r="H45" i="24"/>
  <c r="B45" i="24"/>
  <c r="B43" i="24"/>
  <c r="H42" i="24"/>
  <c r="B42" i="24"/>
  <c r="B40" i="24"/>
  <c r="B38" i="24"/>
  <c r="B36" i="24"/>
  <c r="B34" i="24"/>
  <c r="B33" i="24"/>
  <c r="H32" i="24"/>
  <c r="B32" i="24"/>
  <c r="M30" i="24"/>
  <c r="L30" i="24"/>
  <c r="E30" i="24"/>
  <c r="D30" i="24"/>
  <c r="C30" i="24"/>
  <c r="B30" i="24"/>
  <c r="A30" i="24"/>
  <c r="A29" i="24"/>
  <c r="B21" i="24"/>
  <c r="B20" i="24"/>
  <c r="B19" i="24"/>
  <c r="B18" i="24"/>
  <c r="A17" i="24"/>
  <c r="G15" i="24"/>
  <c r="B15" i="24"/>
  <c r="B14" i="24"/>
  <c r="L13" i="24"/>
  <c r="I13" i="24"/>
  <c r="G13" i="24"/>
  <c r="B13" i="24"/>
  <c r="B11" i="24"/>
  <c r="B10" i="24"/>
  <c r="L9" i="24"/>
  <c r="G9" i="24"/>
  <c r="B9" i="24"/>
  <c r="A8" i="24"/>
  <c r="J6" i="24"/>
  <c r="J5" i="24"/>
  <c r="J4" i="24"/>
  <c r="D65" i="22"/>
  <c r="A251" i="23"/>
  <c r="A250" i="23"/>
  <c r="E219" i="23"/>
  <c r="E218" i="23"/>
  <c r="A265" i="23"/>
  <c r="A264" i="23"/>
  <c r="A260" i="23"/>
  <c r="A259" i="23"/>
  <c r="D211" i="23"/>
  <c r="A210" i="23" s="1"/>
  <c r="J50" i="22" s="1"/>
  <c r="D210" i="23"/>
  <c r="D205" i="23"/>
  <c r="D204" i="23"/>
  <c r="D203" i="23"/>
  <c r="A202" i="23" s="1"/>
  <c r="J49" i="22" s="1"/>
  <c r="D202" i="23"/>
  <c r="A199" i="23"/>
  <c r="A198" i="23"/>
  <c r="F188" i="23"/>
  <c r="E188" i="23"/>
  <c r="F187" i="23"/>
  <c r="E187" i="23"/>
  <c r="F186" i="23"/>
  <c r="J70" i="22" s="1"/>
  <c r="E186" i="23"/>
  <c r="A214" i="23" s="1"/>
  <c r="J51" i="22" s="1"/>
  <c r="F185" i="23"/>
  <c r="A236" i="23" s="1"/>
  <c r="E185" i="23"/>
  <c r="F184" i="23"/>
  <c r="A235" i="23" s="1"/>
  <c r="E184" i="23"/>
  <c r="A172" i="23"/>
  <c r="E172" i="23" s="1"/>
  <c r="A171" i="23"/>
  <c r="E171" i="23" s="1"/>
  <c r="A169" i="23"/>
  <c r="A240" i="23" s="1"/>
  <c r="J60" i="22" s="1"/>
  <c r="A167" i="23"/>
  <c r="A166" i="23"/>
  <c r="A162" i="23"/>
  <c r="E162" i="23" s="1"/>
  <c r="A161" i="23"/>
  <c r="E161" i="23" s="1"/>
  <c r="A160" i="23"/>
  <c r="E160" i="23" s="1"/>
  <c r="A156" i="23"/>
  <c r="A155" i="23"/>
  <c r="A153" i="23"/>
  <c r="A152" i="23"/>
  <c r="A150" i="23"/>
  <c r="A149" i="23"/>
  <c r="A147" i="23"/>
  <c r="A145" i="23"/>
  <c r="A143" i="23"/>
  <c r="A142" i="23"/>
  <c r="A140" i="23"/>
  <c r="A139" i="23"/>
  <c r="B137" i="23"/>
  <c r="A137" i="23"/>
  <c r="B136" i="23"/>
  <c r="A136" i="23"/>
  <c r="B135" i="23"/>
  <c r="A134" i="23"/>
  <c r="A133" i="23"/>
  <c r="A132" i="23"/>
  <c r="A130" i="23"/>
  <c r="A129" i="23"/>
  <c r="A128" i="23"/>
  <c r="A127" i="23"/>
  <c r="A126" i="23"/>
  <c r="A125" i="23"/>
  <c r="A124" i="23"/>
  <c r="A123" i="23"/>
  <c r="A122" i="23"/>
  <c r="A121" i="23"/>
  <c r="A119" i="23"/>
  <c r="A118" i="23"/>
  <c r="A116" i="23"/>
  <c r="A115" i="23"/>
  <c r="A114" i="23"/>
  <c r="A113" i="23"/>
  <c r="A112" i="23"/>
  <c r="A110" i="23"/>
  <c r="A108" i="23"/>
  <c r="A107" i="23"/>
  <c r="A106" i="23"/>
  <c r="A105" i="23"/>
  <c r="A104" i="23"/>
  <c r="A102" i="23"/>
  <c r="C80" i="23"/>
  <c r="A76" i="23"/>
  <c r="C50" i="23"/>
  <c r="A50" i="23"/>
  <c r="A26" i="23"/>
  <c r="A25" i="23"/>
  <c r="A24" i="23"/>
  <c r="A22" i="23"/>
  <c r="A21" i="23"/>
  <c r="A19" i="23"/>
  <c r="A18" i="23"/>
  <c r="A16" i="23"/>
  <c r="A15" i="23"/>
  <c r="A13" i="23"/>
  <c r="A12" i="23"/>
  <c r="A11" i="23"/>
  <c r="A10" i="23"/>
  <c r="A8" i="23"/>
  <c r="A7" i="23"/>
  <c r="A6" i="23"/>
  <c r="A4" i="23"/>
  <c r="A3" i="23"/>
  <c r="J66" i="22"/>
  <c r="D48" i="22"/>
  <c r="J81" i="22"/>
  <c r="A243" i="23"/>
  <c r="A246" i="23"/>
  <c r="A254" i="23"/>
  <c r="J83" i="22" s="1"/>
  <c r="S32" i="24"/>
  <c r="R32" i="24"/>
  <c r="L43" i="24"/>
  <c r="L57" i="24"/>
  <c r="L55" i="24"/>
  <c r="L38" i="24"/>
  <c r="L34" i="24"/>
  <c r="L47" i="24"/>
  <c r="L58" i="24"/>
  <c r="L33" i="24"/>
  <c r="L36" i="24"/>
  <c r="L49" i="24"/>
  <c r="L40" i="24"/>
  <c r="L64" i="22"/>
  <c r="L93" i="22"/>
  <c r="D86" i="22"/>
  <c r="D90" i="22"/>
  <c r="BB90" i="22"/>
  <c r="BB86" i="22"/>
  <c r="AS90" i="22"/>
  <c r="AS86" i="22"/>
  <c r="AJ90" i="22"/>
  <c r="D61" i="22"/>
  <c r="K119" i="22"/>
  <c r="A119" i="22"/>
  <c r="C112" i="22"/>
  <c r="B107" i="22"/>
  <c r="B106" i="22"/>
  <c r="J102" i="22"/>
  <c r="B102" i="22"/>
  <c r="D99" i="22"/>
  <c r="B99" i="22"/>
  <c r="B98" i="22"/>
  <c r="B97" i="22"/>
  <c r="B96" i="22"/>
  <c r="J95" i="22"/>
  <c r="B91" i="22"/>
  <c r="B90" i="22"/>
  <c r="B89" i="22"/>
  <c r="B88" i="22"/>
  <c r="B86" i="22"/>
  <c r="B83" i="22"/>
  <c r="B82" i="22"/>
  <c r="B81" i="22"/>
  <c r="B80" i="22"/>
  <c r="D79" i="22"/>
  <c r="B79" i="22"/>
  <c r="B78" i="22"/>
  <c r="B77" i="22"/>
  <c r="B75" i="22"/>
  <c r="B74" i="22"/>
  <c r="B73" i="22"/>
  <c r="B72" i="22"/>
  <c r="B71" i="22"/>
  <c r="B70" i="22"/>
  <c r="B69" i="22"/>
  <c r="B68" i="22"/>
  <c r="I67" i="22"/>
  <c r="B67" i="22"/>
  <c r="B66" i="22"/>
  <c r="I65" i="22"/>
  <c r="B65" i="22"/>
  <c r="I64" i="22"/>
  <c r="B64" i="22"/>
  <c r="I63" i="22"/>
  <c r="B63" i="22"/>
  <c r="B62" i="22"/>
  <c r="B61" i="22"/>
  <c r="D60" i="22"/>
  <c r="B59" i="22"/>
  <c r="J58" i="22"/>
  <c r="B58" i="22"/>
  <c r="J57" i="22"/>
  <c r="B57" i="22"/>
  <c r="B56" i="22"/>
  <c r="J55" i="22"/>
  <c r="B55" i="22"/>
  <c r="B54" i="22"/>
  <c r="B53" i="22"/>
  <c r="B52" i="22"/>
  <c r="B51" i="22"/>
  <c r="B50" i="22"/>
  <c r="B49" i="22"/>
  <c r="B47" i="22"/>
  <c r="J46" i="22"/>
  <c r="B46" i="22"/>
  <c r="B45" i="22"/>
  <c r="B44" i="22"/>
  <c r="B43" i="22"/>
  <c r="B42" i="22"/>
  <c r="B41" i="22"/>
  <c r="B39" i="22"/>
  <c r="B38" i="22"/>
  <c r="J37" i="22"/>
  <c r="B37" i="22"/>
  <c r="B36" i="22"/>
  <c r="I35" i="22"/>
  <c r="B35" i="22"/>
  <c r="B34" i="22"/>
  <c r="I33" i="22"/>
  <c r="B33" i="22"/>
  <c r="B31" i="22"/>
  <c r="M30" i="22"/>
  <c r="L30" i="22"/>
  <c r="E30" i="22"/>
  <c r="D30" i="22"/>
  <c r="C30" i="22"/>
  <c r="B30" i="22"/>
  <c r="A30" i="22"/>
  <c r="A29" i="22"/>
  <c r="M17" i="22"/>
  <c r="M21" i="22"/>
  <c r="M16" i="22"/>
  <c r="M20" i="22"/>
  <c r="B162" i="23" s="1"/>
  <c r="L21" i="22"/>
  <c r="L20" i="22"/>
  <c r="L15" i="22"/>
  <c r="L19" i="22"/>
  <c r="B21" i="22"/>
  <c r="B20" i="22"/>
  <c r="B19" i="22"/>
  <c r="B18" i="22"/>
  <c r="A17" i="22"/>
  <c r="G15" i="22"/>
  <c r="B15" i="22"/>
  <c r="B14" i="22"/>
  <c r="L13" i="22"/>
  <c r="I13" i="22"/>
  <c r="G13" i="22"/>
  <c r="B13" i="22"/>
  <c r="B11" i="22"/>
  <c r="B10" i="22"/>
  <c r="L9" i="22"/>
  <c r="G9" i="22"/>
  <c r="B9" i="22"/>
  <c r="A8" i="22"/>
  <c r="J5" i="22"/>
  <c r="J4" i="22"/>
  <c r="J74" i="1"/>
  <c r="B58" i="20"/>
  <c r="AF57" i="20"/>
  <c r="D57" i="20" s="1"/>
  <c r="B57" i="20"/>
  <c r="I56" i="20"/>
  <c r="B56" i="20"/>
  <c r="J55" i="20"/>
  <c r="B55" i="20"/>
  <c r="I54" i="20"/>
  <c r="D54" i="20"/>
  <c r="B54" i="20"/>
  <c r="I53" i="20"/>
  <c r="B53" i="20"/>
  <c r="I52" i="20"/>
  <c r="B52" i="20"/>
  <c r="B142" i="2"/>
  <c r="B141" i="2"/>
  <c r="A141" i="2"/>
  <c r="AF32" i="20"/>
  <c r="B116" i="1"/>
  <c r="B115" i="1"/>
  <c r="G191" i="2"/>
  <c r="G190" i="2"/>
  <c r="F190" i="2"/>
  <c r="A241" i="2" s="1"/>
  <c r="B79" i="1"/>
  <c r="B78" i="1"/>
  <c r="B73" i="1"/>
  <c r="D73" i="1"/>
  <c r="I73" i="1"/>
  <c r="I72" i="1"/>
  <c r="B72" i="1"/>
  <c r="R94" i="1"/>
  <c r="D47" i="22"/>
  <c r="S32" i="20"/>
  <c r="D44" i="22"/>
  <c r="D50" i="22"/>
  <c r="D51" i="22"/>
  <c r="D98" i="22"/>
  <c r="D73" i="22"/>
  <c r="B99" i="1"/>
  <c r="A255" i="2"/>
  <c r="D87" i="1"/>
  <c r="B87" i="1"/>
  <c r="D49" i="19"/>
  <c r="E49" i="19"/>
  <c r="D47" i="19"/>
  <c r="E48" i="19"/>
  <c r="B48" i="19"/>
  <c r="M2" i="21"/>
  <c r="K110" i="21"/>
  <c r="A110" i="21"/>
  <c r="C103" i="21"/>
  <c r="J98" i="21"/>
  <c r="H98" i="21"/>
  <c r="B98" i="21"/>
  <c r="B97" i="21"/>
  <c r="B96" i="21"/>
  <c r="B95" i="21"/>
  <c r="D91" i="21"/>
  <c r="B91" i="21"/>
  <c r="D90" i="21"/>
  <c r="B90" i="21"/>
  <c r="D89" i="21"/>
  <c r="B89" i="21"/>
  <c r="D88" i="21"/>
  <c r="B88" i="21"/>
  <c r="D87" i="21"/>
  <c r="B87" i="21"/>
  <c r="D86" i="21"/>
  <c r="B86" i="21"/>
  <c r="D85" i="21"/>
  <c r="B85" i="21"/>
  <c r="D84" i="21"/>
  <c r="B84" i="21"/>
  <c r="D83" i="21"/>
  <c r="B83" i="21"/>
  <c r="D82" i="21"/>
  <c r="B82" i="21"/>
  <c r="D81" i="21"/>
  <c r="B81" i="21"/>
  <c r="D80" i="21"/>
  <c r="B80" i="21"/>
  <c r="D79" i="21"/>
  <c r="B79" i="21"/>
  <c r="D78" i="21"/>
  <c r="B78" i="21"/>
  <c r="D77" i="21"/>
  <c r="B77" i="21"/>
  <c r="B76" i="21"/>
  <c r="D75" i="21"/>
  <c r="B75" i="21"/>
  <c r="D74" i="21"/>
  <c r="B74" i="21"/>
  <c r="D73" i="21"/>
  <c r="B73" i="21"/>
  <c r="D72" i="21"/>
  <c r="B72" i="21"/>
  <c r="D69" i="21"/>
  <c r="B68" i="21"/>
  <c r="B67" i="21"/>
  <c r="B66" i="21"/>
  <c r="B65" i="21"/>
  <c r="B64" i="21"/>
  <c r="D63" i="21"/>
  <c r="B63" i="21"/>
  <c r="D62" i="21"/>
  <c r="B62" i="21"/>
  <c r="D61" i="21"/>
  <c r="B61" i="21"/>
  <c r="D60" i="21"/>
  <c r="B60" i="21"/>
  <c r="B59" i="21"/>
  <c r="D58" i="21"/>
  <c r="B58" i="21"/>
  <c r="D57" i="21"/>
  <c r="B57" i="21"/>
  <c r="I56" i="21"/>
  <c r="B56" i="21"/>
  <c r="I55" i="21"/>
  <c r="B55" i="21"/>
  <c r="I54" i="21"/>
  <c r="B54" i="21"/>
  <c r="D50" i="21"/>
  <c r="B50" i="21"/>
  <c r="B49" i="21"/>
  <c r="B48" i="21"/>
  <c r="D47" i="21"/>
  <c r="B47" i="21"/>
  <c r="D46" i="21"/>
  <c r="B46" i="21"/>
  <c r="D45" i="21"/>
  <c r="B45" i="21"/>
  <c r="D44" i="21"/>
  <c r="B44" i="21"/>
  <c r="D43" i="21"/>
  <c r="B43" i="21"/>
  <c r="D42" i="21"/>
  <c r="B42" i="21"/>
  <c r="D41" i="21"/>
  <c r="B41" i="21"/>
  <c r="D40" i="21"/>
  <c r="B40" i="21"/>
  <c r="B39" i="21"/>
  <c r="B38" i="21"/>
  <c r="D37" i="21"/>
  <c r="B37" i="21"/>
  <c r="B36" i="21"/>
  <c r="B35" i="21"/>
  <c r="B34" i="21"/>
  <c r="B33" i="21"/>
  <c r="D32" i="21"/>
  <c r="B32" i="21"/>
  <c r="D31" i="21"/>
  <c r="B31" i="21"/>
  <c r="M30" i="21"/>
  <c r="L30" i="21"/>
  <c r="E30" i="21"/>
  <c r="D30" i="21"/>
  <c r="C30" i="21"/>
  <c r="B30" i="21"/>
  <c r="A30" i="21"/>
  <c r="A29" i="21"/>
  <c r="G21" i="21"/>
  <c r="B21" i="21"/>
  <c r="G20" i="21"/>
  <c r="B20" i="21"/>
  <c r="G19" i="21"/>
  <c r="B19" i="21"/>
  <c r="G18" i="21"/>
  <c r="B18" i="21"/>
  <c r="J17" i="21"/>
  <c r="G17" i="21"/>
  <c r="A17" i="21"/>
  <c r="J16" i="21"/>
  <c r="G15" i="21"/>
  <c r="B15" i="21"/>
  <c r="B14" i="21"/>
  <c r="L13" i="21"/>
  <c r="I13" i="21"/>
  <c r="G13" i="21"/>
  <c r="B13" i="21"/>
  <c r="B11" i="21"/>
  <c r="B10" i="21"/>
  <c r="L9" i="21"/>
  <c r="J9" i="21"/>
  <c r="G9" i="21"/>
  <c r="B9" i="21"/>
  <c r="A8" i="21"/>
  <c r="J6" i="21"/>
  <c r="J5" i="21"/>
  <c r="J4" i="21"/>
  <c r="B95" i="18"/>
  <c r="B94" i="18"/>
  <c r="B66" i="18"/>
  <c r="B65" i="18"/>
  <c r="B64" i="18"/>
  <c r="B63" i="18"/>
  <c r="D57" i="18"/>
  <c r="D60" i="17"/>
  <c r="B58" i="18"/>
  <c r="B57" i="18"/>
  <c r="I55" i="18"/>
  <c r="B55" i="18"/>
  <c r="I54" i="18"/>
  <c r="B54" i="18"/>
  <c r="I53" i="18"/>
  <c r="B53" i="18"/>
  <c r="B52" i="18"/>
  <c r="D46" i="18"/>
  <c r="B48" i="18"/>
  <c r="B47" i="18"/>
  <c r="B46" i="18"/>
  <c r="B98" i="17"/>
  <c r="B97" i="17"/>
  <c r="B69" i="17"/>
  <c r="B68" i="17"/>
  <c r="B67" i="17"/>
  <c r="B66" i="17"/>
  <c r="B61" i="17"/>
  <c r="B60" i="17"/>
  <c r="I58" i="17"/>
  <c r="B58" i="17"/>
  <c r="I57" i="17"/>
  <c r="B57" i="17"/>
  <c r="I56" i="17"/>
  <c r="B56" i="17"/>
  <c r="B55" i="17"/>
  <c r="D48" i="17"/>
  <c r="D47" i="16"/>
  <c r="B50" i="17"/>
  <c r="B49" i="17"/>
  <c r="B48" i="17"/>
  <c r="B96" i="16"/>
  <c r="B95" i="16"/>
  <c r="B67" i="16"/>
  <c r="B66" i="16"/>
  <c r="B65" i="16"/>
  <c r="B64" i="16"/>
  <c r="B59" i="16"/>
  <c r="D58" i="16"/>
  <c r="B58" i="16"/>
  <c r="I56" i="16"/>
  <c r="B56" i="16"/>
  <c r="I55" i="16"/>
  <c r="B55" i="16"/>
  <c r="I54" i="16"/>
  <c r="B54" i="16"/>
  <c r="B53" i="16"/>
  <c r="B49" i="16"/>
  <c r="B48" i="16"/>
  <c r="B47" i="16"/>
  <c r="B94" i="14"/>
  <c r="B93" i="14"/>
  <c r="B65" i="14"/>
  <c r="B64" i="14"/>
  <c r="B63" i="14"/>
  <c r="B62" i="14"/>
  <c r="D56" i="14"/>
  <c r="B57" i="14"/>
  <c r="I54" i="14"/>
  <c r="I53" i="14"/>
  <c r="I52" i="14"/>
  <c r="B54" i="14"/>
  <c r="D45" i="14"/>
  <c r="B46" i="14"/>
  <c r="B96" i="15"/>
  <c r="B95" i="15"/>
  <c r="B67" i="15"/>
  <c r="B65" i="15"/>
  <c r="D64" i="15"/>
  <c r="B64" i="15"/>
  <c r="D59" i="15"/>
  <c r="B59" i="15"/>
  <c r="B57" i="15"/>
  <c r="I57" i="15"/>
  <c r="I56" i="15"/>
  <c r="I55" i="15"/>
  <c r="D47" i="15"/>
  <c r="B47" i="15"/>
  <c r="EO58" i="13"/>
  <c r="DT58" i="13"/>
  <c r="CY58" i="13"/>
  <c r="CD58" i="13"/>
  <c r="BI58" i="13"/>
  <c r="AN58" i="13"/>
  <c r="C80" i="2"/>
  <c r="B58" i="13"/>
  <c r="I58" i="13"/>
  <c r="C50" i="2"/>
  <c r="D48" i="13"/>
  <c r="B98" i="13"/>
  <c r="B99" i="13"/>
  <c r="B68" i="13"/>
  <c r="B66" i="13"/>
  <c r="D65" i="13"/>
  <c r="B65" i="13"/>
  <c r="D60" i="13"/>
  <c r="B60" i="13"/>
  <c r="B48" i="13"/>
  <c r="D71" i="19"/>
  <c r="D70" i="19"/>
  <c r="D60" i="19"/>
  <c r="D58" i="19"/>
  <c r="D59" i="19"/>
  <c r="D61" i="19"/>
  <c r="D57" i="19"/>
  <c r="D55" i="19"/>
  <c r="D56" i="19"/>
  <c r="D54" i="19"/>
  <c r="D53" i="19"/>
  <c r="D52" i="19"/>
  <c r="D46" i="19"/>
  <c r="D45" i="19"/>
  <c r="AM34" i="19"/>
  <c r="AM33" i="19"/>
  <c r="AM32" i="19"/>
  <c r="BG34" i="19"/>
  <c r="BG33" i="19"/>
  <c r="BG32" i="19"/>
  <c r="K20" i="19"/>
  <c r="K19" i="19"/>
  <c r="B95" i="13"/>
  <c r="L13" i="1"/>
  <c r="I13" i="1"/>
  <c r="L13" i="20"/>
  <c r="I13" i="20"/>
  <c r="L13" i="19"/>
  <c r="I13" i="19"/>
  <c r="L13" i="18"/>
  <c r="I13" i="18"/>
  <c r="L13" i="17"/>
  <c r="I13" i="17"/>
  <c r="L13" i="16"/>
  <c r="I13" i="16"/>
  <c r="L13" i="14"/>
  <c r="I13" i="14"/>
  <c r="L13" i="15"/>
  <c r="I13" i="15"/>
  <c r="B51" i="1"/>
  <c r="G17" i="20"/>
  <c r="B30" i="4"/>
  <c r="B46" i="4"/>
  <c r="B40" i="4"/>
  <c r="B36" i="4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A174" i="2"/>
  <c r="A245" i="2" s="1"/>
  <c r="J68" i="1" s="1"/>
  <c r="I19" i="19"/>
  <c r="I18" i="19"/>
  <c r="A134" i="2"/>
  <c r="G22" i="19"/>
  <c r="A132" i="2"/>
  <c r="I16" i="19"/>
  <c r="J17" i="18"/>
  <c r="J17" i="17"/>
  <c r="J17" i="16"/>
  <c r="J17" i="14"/>
  <c r="J17" i="13"/>
  <c r="A131" i="2"/>
  <c r="G21" i="19"/>
  <c r="J16" i="18"/>
  <c r="J16" i="17"/>
  <c r="J16" i="16"/>
  <c r="J16" i="14"/>
  <c r="J16" i="13"/>
  <c r="A130" i="2"/>
  <c r="I17" i="19"/>
  <c r="G21" i="18"/>
  <c r="G21" i="17"/>
  <c r="G21" i="16"/>
  <c r="G21" i="14"/>
  <c r="G21" i="13"/>
  <c r="A129" i="2"/>
  <c r="G20" i="19"/>
  <c r="G20" i="18"/>
  <c r="G20" i="17"/>
  <c r="G20" i="16"/>
  <c r="G20" i="14"/>
  <c r="G20" i="13"/>
  <c r="A128" i="2"/>
  <c r="G19" i="19"/>
  <c r="G19" i="18"/>
  <c r="G19" i="17"/>
  <c r="G19" i="16"/>
  <c r="G19" i="14"/>
  <c r="G19" i="13"/>
  <c r="A127" i="2"/>
  <c r="G18" i="19"/>
  <c r="G18" i="18"/>
  <c r="G18" i="17"/>
  <c r="G18" i="16"/>
  <c r="G18" i="14"/>
  <c r="G18" i="13"/>
  <c r="A126" i="2"/>
  <c r="G17" i="19"/>
  <c r="G17" i="18"/>
  <c r="G17" i="17"/>
  <c r="G17" i="16"/>
  <c r="G17" i="14"/>
  <c r="G17" i="13"/>
  <c r="G17" i="1"/>
  <c r="A125" i="2"/>
  <c r="G16" i="19"/>
  <c r="G16" i="18"/>
  <c r="G16" i="17"/>
  <c r="G16" i="16"/>
  <c r="G16" i="14"/>
  <c r="G16" i="13"/>
  <c r="J9" i="19"/>
  <c r="J9" i="17"/>
  <c r="J9" i="16"/>
  <c r="J9" i="15"/>
  <c r="J9" i="14"/>
  <c r="I13" i="13"/>
  <c r="A108" i="2"/>
  <c r="A104" i="2"/>
  <c r="A105" i="2"/>
  <c r="A106" i="2"/>
  <c r="A107" i="2"/>
  <c r="I17" i="1"/>
  <c r="I16" i="1"/>
  <c r="G18" i="20"/>
  <c r="G16" i="1"/>
  <c r="G16" i="20"/>
  <c r="K18" i="19"/>
  <c r="K17" i="19"/>
  <c r="K16" i="19"/>
  <c r="I22" i="19"/>
  <c r="I18" i="1"/>
  <c r="G19" i="20"/>
  <c r="I21" i="19"/>
  <c r="I19" i="1"/>
  <c r="G20" i="20"/>
  <c r="I20" i="19"/>
  <c r="A269" i="2"/>
  <c r="A270" i="2"/>
  <c r="D89" i="1"/>
  <c r="A256" i="2"/>
  <c r="F191" i="2"/>
  <c r="J85" i="22" s="1"/>
  <c r="AT103" i="1"/>
  <c r="A264" i="2"/>
  <c r="A265" i="2"/>
  <c r="A157" i="2"/>
  <c r="A158" i="2"/>
  <c r="A154" i="2"/>
  <c r="A155" i="2"/>
  <c r="A150" i="2"/>
  <c r="A152" i="2"/>
  <c r="D69" i="1"/>
  <c r="D59" i="1"/>
  <c r="D58" i="1"/>
  <c r="B55" i="1"/>
  <c r="D210" i="2"/>
  <c r="D208" i="2"/>
  <c r="D207" i="2"/>
  <c r="G29" i="1"/>
  <c r="G27" i="1"/>
  <c r="G25" i="1"/>
  <c r="A203" i="2"/>
  <c r="A204" i="2"/>
  <c r="A160" i="2"/>
  <c r="A161" i="2"/>
  <c r="A176" i="2"/>
  <c r="E176" i="2" s="1"/>
  <c r="A177" i="2"/>
  <c r="E177" i="2" s="1"/>
  <c r="B17" i="4"/>
  <c r="J65" i="1"/>
  <c r="J27" i="1"/>
  <c r="A251" i="2"/>
  <c r="F192" i="2"/>
  <c r="J28" i="1"/>
  <c r="F193" i="2"/>
  <c r="J29" i="1"/>
  <c r="J50" i="1"/>
  <c r="D215" i="2"/>
  <c r="J66" i="1"/>
  <c r="B26" i="4"/>
  <c r="A147" i="2"/>
  <c r="D216" i="2"/>
  <c r="J63" i="1"/>
  <c r="F189" i="2"/>
  <c r="A240" i="2" s="1"/>
  <c r="J25" i="1"/>
  <c r="A148" i="2"/>
  <c r="D209" i="2"/>
  <c r="J104" i="1"/>
  <c r="J26" i="1"/>
  <c r="M2" i="17"/>
  <c r="K6" i="4"/>
  <c r="M2" i="16"/>
  <c r="K5" i="4"/>
  <c r="A144" i="2"/>
  <c r="A145" i="2"/>
  <c r="B21" i="4"/>
  <c r="A165" i="2"/>
  <c r="E165" i="2" s="1"/>
  <c r="A166" i="2"/>
  <c r="E166" i="2" s="1"/>
  <c r="A167" i="2"/>
  <c r="E167" i="2" s="1"/>
  <c r="D49" i="20"/>
  <c r="D47" i="20"/>
  <c r="D40" i="20"/>
  <c r="AF42" i="20"/>
  <c r="AS42" i="20"/>
  <c r="AS45" i="20"/>
  <c r="AF45" i="20"/>
  <c r="D38" i="20"/>
  <c r="D36" i="20"/>
  <c r="AS32" i="20"/>
  <c r="BF32" i="20"/>
  <c r="A142" i="2"/>
  <c r="A137" i="2"/>
  <c r="A138" i="2"/>
  <c r="A139" i="2"/>
  <c r="AM47" i="19"/>
  <c r="D41" i="19"/>
  <c r="D69" i="19"/>
  <c r="D68" i="19"/>
  <c r="D67" i="19"/>
  <c r="D66" i="19"/>
  <c r="D65" i="19"/>
  <c r="D64" i="19"/>
  <c r="D42" i="19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4" i="18"/>
  <c r="D73" i="18"/>
  <c r="D72" i="18"/>
  <c r="D71" i="18"/>
  <c r="D69" i="18"/>
  <c r="D68" i="18"/>
  <c r="D62" i="18"/>
  <c r="D61" i="18"/>
  <c r="D60" i="18"/>
  <c r="D59" i="18"/>
  <c r="D56" i="18"/>
  <c r="D49" i="18"/>
  <c r="D45" i="18"/>
  <c r="D44" i="18"/>
  <c r="D43" i="18"/>
  <c r="D42" i="18"/>
  <c r="D41" i="18"/>
  <c r="D40" i="18"/>
  <c r="D39" i="18"/>
  <c r="D36" i="18"/>
  <c r="D32" i="18"/>
  <c r="D31" i="18"/>
  <c r="D45" i="13"/>
  <c r="D80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79" i="17"/>
  <c r="D77" i="16"/>
  <c r="D77" i="17"/>
  <c r="D76" i="17"/>
  <c r="D75" i="17"/>
  <c r="D74" i="17"/>
  <c r="D72" i="17"/>
  <c r="D71" i="17"/>
  <c r="D65" i="17"/>
  <c r="D64" i="17"/>
  <c r="D63" i="17"/>
  <c r="D62" i="17"/>
  <c r="D59" i="17"/>
  <c r="D51" i="17"/>
  <c r="D47" i="17"/>
  <c r="D46" i="17"/>
  <c r="D45" i="17"/>
  <c r="D44" i="17"/>
  <c r="D43" i="17"/>
  <c r="D42" i="17"/>
  <c r="D41" i="17"/>
  <c r="D38" i="17"/>
  <c r="D33" i="17"/>
  <c r="D32" i="17"/>
  <c r="D31" i="17"/>
  <c r="D33" i="16"/>
  <c r="D32" i="16"/>
  <c r="D31" i="16"/>
  <c r="K114" i="13"/>
  <c r="A114" i="13"/>
  <c r="K108" i="14"/>
  <c r="A108" i="14"/>
  <c r="K110" i="15"/>
  <c r="A110" i="15"/>
  <c r="K110" i="16"/>
  <c r="A110" i="16"/>
  <c r="K112" i="17"/>
  <c r="A112" i="17"/>
  <c r="K109" i="18"/>
  <c r="A109" i="18"/>
  <c r="K88" i="19"/>
  <c r="A88" i="19"/>
  <c r="K78" i="20"/>
  <c r="A78" i="20"/>
  <c r="D78" i="16"/>
  <c r="D77" i="15"/>
  <c r="D75" i="14"/>
  <c r="D75" i="16"/>
  <c r="D74" i="16"/>
  <c r="D73" i="16"/>
  <c r="D72" i="16"/>
  <c r="D70" i="16"/>
  <c r="D69" i="16"/>
  <c r="D63" i="16"/>
  <c r="D62" i="16"/>
  <c r="D61" i="16"/>
  <c r="D60" i="16"/>
  <c r="D57" i="16"/>
  <c r="D50" i="16"/>
  <c r="D46" i="16"/>
  <c r="D45" i="16"/>
  <c r="D44" i="16"/>
  <c r="D43" i="16"/>
  <c r="D42" i="16"/>
  <c r="D41" i="16"/>
  <c r="D40" i="16"/>
  <c r="D37" i="16"/>
  <c r="D76" i="14"/>
  <c r="D75" i="15"/>
  <c r="D74" i="15"/>
  <c r="D73" i="15"/>
  <c r="D72" i="15"/>
  <c r="D70" i="15"/>
  <c r="D63" i="15"/>
  <c r="D62" i="15"/>
  <c r="D61" i="15"/>
  <c r="D58" i="15"/>
  <c r="D51" i="15"/>
  <c r="D46" i="15"/>
  <c r="D45" i="15"/>
  <c r="D44" i="15"/>
  <c r="D43" i="15"/>
  <c r="D42" i="15"/>
  <c r="D41" i="15"/>
  <c r="D40" i="15"/>
  <c r="D50" i="15"/>
  <c r="D37" i="15"/>
  <c r="D89" i="14"/>
  <c r="D93" i="13"/>
  <c r="D68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3" i="14"/>
  <c r="D72" i="14"/>
  <c r="D71" i="14"/>
  <c r="D70" i="14"/>
  <c r="D67" i="14"/>
  <c r="D61" i="14"/>
  <c r="D60" i="14"/>
  <c r="D59" i="14"/>
  <c r="D58" i="14"/>
  <c r="D55" i="14"/>
  <c r="D48" i="14"/>
  <c r="D44" i="14"/>
  <c r="D43" i="14"/>
  <c r="D42" i="14"/>
  <c r="D41" i="14"/>
  <c r="D40" i="14"/>
  <c r="D39" i="14"/>
  <c r="D38" i="14"/>
  <c r="D35" i="14"/>
  <c r="D31" i="14"/>
  <c r="C30" i="14"/>
  <c r="D92" i="13"/>
  <c r="D91" i="13"/>
  <c r="D90" i="13"/>
  <c r="D89" i="13"/>
  <c r="D88" i="13"/>
  <c r="D87" i="13"/>
  <c r="D86" i="13"/>
  <c r="D85" i="13"/>
  <c r="D84" i="13"/>
  <c r="D83" i="13"/>
  <c r="D82" i="13"/>
  <c r="D81" i="13"/>
  <c r="D79" i="13"/>
  <c r="D80" i="13"/>
  <c r="D77" i="13"/>
  <c r="D76" i="13"/>
  <c r="D75" i="13"/>
  <c r="D74" i="13"/>
  <c r="D72" i="13"/>
  <c r="D71" i="13"/>
  <c r="D64" i="13"/>
  <c r="D63" i="13"/>
  <c r="D62" i="13"/>
  <c r="D51" i="13"/>
  <c r="D38" i="13"/>
  <c r="D47" i="13"/>
  <c r="D46" i="13"/>
  <c r="D44" i="13"/>
  <c r="D43" i="13"/>
  <c r="D42" i="13"/>
  <c r="D41" i="13"/>
  <c r="E30" i="13"/>
  <c r="L30" i="13"/>
  <c r="M30" i="13"/>
  <c r="K10" i="4"/>
  <c r="K9" i="4"/>
  <c r="K8" i="4"/>
  <c r="K7" i="4"/>
  <c r="K4" i="4"/>
  <c r="K3" i="4"/>
  <c r="K2" i="4"/>
  <c r="L59" i="4"/>
  <c r="B59" i="4"/>
  <c r="E193" i="2"/>
  <c r="E192" i="2"/>
  <c r="E191" i="2"/>
  <c r="E190" i="2"/>
  <c r="E189" i="2"/>
  <c r="C71" i="20"/>
  <c r="B49" i="20"/>
  <c r="B47" i="20"/>
  <c r="H45" i="20"/>
  <c r="B45" i="20"/>
  <c r="B43" i="20"/>
  <c r="H42" i="20"/>
  <c r="B42" i="20"/>
  <c r="B40" i="20"/>
  <c r="B38" i="20"/>
  <c r="B36" i="20"/>
  <c r="B34" i="20"/>
  <c r="B33" i="20"/>
  <c r="H32" i="20"/>
  <c r="B32" i="20"/>
  <c r="M30" i="20"/>
  <c r="L30" i="20"/>
  <c r="E30" i="20"/>
  <c r="C30" i="20"/>
  <c r="B30" i="20"/>
  <c r="A30" i="20"/>
  <c r="A29" i="20"/>
  <c r="B21" i="20"/>
  <c r="B20" i="20"/>
  <c r="B19" i="20"/>
  <c r="B18" i="20"/>
  <c r="A17" i="20"/>
  <c r="G15" i="20"/>
  <c r="B15" i="20"/>
  <c r="B14" i="20"/>
  <c r="G13" i="20"/>
  <c r="B13" i="20"/>
  <c r="B11" i="20"/>
  <c r="B10" i="20"/>
  <c r="L9" i="20"/>
  <c r="G9" i="20"/>
  <c r="B9" i="20"/>
  <c r="A8" i="20"/>
  <c r="J6" i="20"/>
  <c r="J5" i="20"/>
  <c r="J4" i="20"/>
  <c r="M2" i="20"/>
  <c r="C81" i="19"/>
  <c r="M31" i="19"/>
  <c r="L31" i="19"/>
  <c r="E31" i="19"/>
  <c r="C31" i="19"/>
  <c r="B31" i="19"/>
  <c r="A31" i="19"/>
  <c r="A30" i="19"/>
  <c r="B21" i="19"/>
  <c r="B20" i="19"/>
  <c r="B19" i="19"/>
  <c r="B18" i="19"/>
  <c r="A17" i="19"/>
  <c r="G15" i="19"/>
  <c r="B15" i="19"/>
  <c r="B14" i="19"/>
  <c r="G13" i="19"/>
  <c r="B13" i="19"/>
  <c r="B11" i="19"/>
  <c r="B10" i="19"/>
  <c r="L9" i="19"/>
  <c r="G9" i="19"/>
  <c r="B9" i="19"/>
  <c r="A8" i="19"/>
  <c r="J6" i="19"/>
  <c r="J5" i="19"/>
  <c r="J4" i="19"/>
  <c r="M2" i="19"/>
  <c r="C102" i="18"/>
  <c r="J97" i="18"/>
  <c r="H97" i="18"/>
  <c r="B97" i="18"/>
  <c r="B96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69" i="18"/>
  <c r="B68" i="18"/>
  <c r="B67" i="18"/>
  <c r="B62" i="18"/>
  <c r="B61" i="18"/>
  <c r="B60" i="18"/>
  <c r="B59" i="18"/>
  <c r="B56" i="18"/>
  <c r="B49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M30" i="18"/>
  <c r="L30" i="18"/>
  <c r="E30" i="18"/>
  <c r="C30" i="18"/>
  <c r="B30" i="18"/>
  <c r="A30" i="18"/>
  <c r="A29" i="18"/>
  <c r="B21" i="18"/>
  <c r="B20" i="18"/>
  <c r="B19" i="18"/>
  <c r="B18" i="18"/>
  <c r="A17" i="18"/>
  <c r="G15" i="18"/>
  <c r="B15" i="18"/>
  <c r="B14" i="18"/>
  <c r="G13" i="18"/>
  <c r="B13" i="18"/>
  <c r="B11" i="18"/>
  <c r="B10" i="18"/>
  <c r="L9" i="18"/>
  <c r="G9" i="18"/>
  <c r="B9" i="18"/>
  <c r="A8" i="18"/>
  <c r="J6" i="18"/>
  <c r="J5" i="18"/>
  <c r="J4" i="18"/>
  <c r="M2" i="18"/>
  <c r="C105" i="17"/>
  <c r="J100" i="17"/>
  <c r="H100" i="17"/>
  <c r="B100" i="17"/>
  <c r="B99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2" i="17"/>
  <c r="B71" i="17"/>
  <c r="B70" i="17"/>
  <c r="B65" i="17"/>
  <c r="B64" i="17"/>
  <c r="B63" i="17"/>
  <c r="B62" i="17"/>
  <c r="B59" i="17"/>
  <c r="B51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1" i="17"/>
  <c r="M30" i="17"/>
  <c r="L30" i="17"/>
  <c r="E30" i="17"/>
  <c r="C30" i="17"/>
  <c r="B30" i="17"/>
  <c r="A30" i="17"/>
  <c r="A29" i="17"/>
  <c r="B21" i="17"/>
  <c r="B20" i="17"/>
  <c r="B19" i="17"/>
  <c r="B18" i="17"/>
  <c r="A17" i="17"/>
  <c r="G15" i="17"/>
  <c r="B15" i="17"/>
  <c r="B14" i="17"/>
  <c r="G13" i="17"/>
  <c r="B13" i="17"/>
  <c r="B11" i="17"/>
  <c r="B10" i="17"/>
  <c r="L9" i="17"/>
  <c r="G9" i="17"/>
  <c r="B9" i="17"/>
  <c r="A8" i="17"/>
  <c r="J6" i="17"/>
  <c r="J5" i="17"/>
  <c r="J4" i="17"/>
  <c r="C103" i="16"/>
  <c r="J98" i="16"/>
  <c r="H98" i="16"/>
  <c r="B98" i="16"/>
  <c r="B97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0" i="16"/>
  <c r="B69" i="16"/>
  <c r="B68" i="16"/>
  <c r="B63" i="16"/>
  <c r="B62" i="16"/>
  <c r="B61" i="16"/>
  <c r="B60" i="16"/>
  <c r="B57" i="16"/>
  <c r="B50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1" i="16"/>
  <c r="M30" i="16"/>
  <c r="L30" i="16"/>
  <c r="E30" i="16"/>
  <c r="C30" i="16"/>
  <c r="B30" i="16"/>
  <c r="A30" i="16"/>
  <c r="A29" i="16"/>
  <c r="B21" i="16"/>
  <c r="B20" i="16"/>
  <c r="B19" i="16"/>
  <c r="B18" i="16"/>
  <c r="A17" i="16"/>
  <c r="G15" i="16"/>
  <c r="B15" i="16"/>
  <c r="B14" i="16"/>
  <c r="G13" i="16"/>
  <c r="B13" i="16"/>
  <c r="B11" i="16"/>
  <c r="B10" i="16"/>
  <c r="L9" i="16"/>
  <c r="G9" i="16"/>
  <c r="B9" i="16"/>
  <c r="A8" i="16"/>
  <c r="J6" i="16"/>
  <c r="J5" i="16"/>
  <c r="J4" i="16"/>
  <c r="C103" i="15"/>
  <c r="J98" i="15"/>
  <c r="H98" i="15"/>
  <c r="B98" i="15"/>
  <c r="B97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0" i="15"/>
  <c r="B69" i="15"/>
  <c r="B68" i="15"/>
  <c r="B66" i="15"/>
  <c r="B63" i="15"/>
  <c r="B62" i="15"/>
  <c r="B61" i="15"/>
  <c r="B60" i="15"/>
  <c r="B58" i="15"/>
  <c r="B56" i="15"/>
  <c r="B55" i="15"/>
  <c r="B54" i="15"/>
  <c r="B51" i="15"/>
  <c r="B50" i="15"/>
  <c r="B49" i="15"/>
  <c r="B48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21" i="15"/>
  <c r="B20" i="15"/>
  <c r="B19" i="15"/>
  <c r="B18" i="15"/>
  <c r="A17" i="15"/>
  <c r="B15" i="15"/>
  <c r="B14" i="15"/>
  <c r="G13" i="15"/>
  <c r="B13" i="15"/>
  <c r="B11" i="15"/>
  <c r="B10" i="15"/>
  <c r="L9" i="15"/>
  <c r="G9" i="15"/>
  <c r="B9" i="15"/>
  <c r="A8" i="15"/>
  <c r="J6" i="15"/>
  <c r="J5" i="15"/>
  <c r="J4" i="15"/>
  <c r="M2" i="15"/>
  <c r="C101" i="14"/>
  <c r="J96" i="14"/>
  <c r="H96" i="14"/>
  <c r="B96" i="14"/>
  <c r="B95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8" i="14"/>
  <c r="B67" i="14"/>
  <c r="B66" i="14"/>
  <c r="B61" i="14"/>
  <c r="B60" i="14"/>
  <c r="B59" i="14"/>
  <c r="B58" i="14"/>
  <c r="B56" i="14"/>
  <c r="B55" i="14"/>
  <c r="B53" i="14"/>
  <c r="B52" i="14"/>
  <c r="B51" i="14"/>
  <c r="B48" i="14"/>
  <c r="B47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M30" i="14"/>
  <c r="L30" i="14"/>
  <c r="E30" i="14"/>
  <c r="B30" i="14"/>
  <c r="A30" i="14"/>
  <c r="A29" i="14"/>
  <c r="B21" i="14"/>
  <c r="B20" i="14"/>
  <c r="B19" i="14"/>
  <c r="B18" i="14"/>
  <c r="A17" i="14"/>
  <c r="G15" i="14"/>
  <c r="B15" i="14"/>
  <c r="B14" i="14"/>
  <c r="G13" i="14"/>
  <c r="B13" i="14"/>
  <c r="B11" i="14"/>
  <c r="B10" i="14"/>
  <c r="L9" i="14"/>
  <c r="G9" i="14"/>
  <c r="B9" i="14"/>
  <c r="A8" i="14"/>
  <c r="J6" i="14"/>
  <c r="J5" i="14"/>
  <c r="J4" i="14"/>
  <c r="M2" i="14"/>
  <c r="A172" i="2"/>
  <c r="A171" i="2"/>
  <c r="A123" i="2"/>
  <c r="A122" i="2"/>
  <c r="A116" i="2"/>
  <c r="A115" i="2"/>
  <c r="A114" i="2"/>
  <c r="A112" i="2"/>
  <c r="P31" i="24" s="1"/>
  <c r="A111" i="2"/>
  <c r="A110" i="2"/>
  <c r="A102" i="2"/>
  <c r="A76" i="2"/>
  <c r="A50" i="2"/>
  <c r="A26" i="2"/>
  <c r="A25" i="2"/>
  <c r="A24" i="2"/>
  <c r="A22" i="2"/>
  <c r="A21" i="2"/>
  <c r="A19" i="2"/>
  <c r="A18" i="2"/>
  <c r="A16" i="2"/>
  <c r="D48" i="18" s="1"/>
  <c r="A15" i="2"/>
  <c r="A8" i="2"/>
  <c r="A7" i="2"/>
  <c r="R37" i="17" s="1"/>
  <c r="A6" i="2"/>
  <c r="K128" i="1"/>
  <c r="A128" i="1"/>
  <c r="C121" i="1"/>
  <c r="J112" i="1"/>
  <c r="B112" i="1"/>
  <c r="J111" i="1"/>
  <c r="B111" i="1"/>
  <c r="B108" i="1"/>
  <c r="B107" i="1"/>
  <c r="B106" i="1"/>
  <c r="B105" i="1"/>
  <c r="B104" i="1"/>
  <c r="B103" i="1"/>
  <c r="B102" i="1"/>
  <c r="B101" i="1"/>
  <c r="B100" i="1"/>
  <c r="B98" i="1"/>
  <c r="B97" i="1"/>
  <c r="B96" i="1"/>
  <c r="B92" i="1"/>
  <c r="B91" i="1"/>
  <c r="B90" i="1"/>
  <c r="B89" i="1"/>
  <c r="B88" i="1"/>
  <c r="B86" i="1"/>
  <c r="B85" i="1"/>
  <c r="B83" i="1"/>
  <c r="B82" i="1"/>
  <c r="B81" i="1"/>
  <c r="B80" i="1"/>
  <c r="B77" i="1"/>
  <c r="B76" i="1"/>
  <c r="I75" i="1"/>
  <c r="B75" i="1"/>
  <c r="B74" i="1"/>
  <c r="I71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3" i="1"/>
  <c r="B52" i="1"/>
  <c r="B50" i="1"/>
  <c r="B49" i="1"/>
  <c r="B48" i="1"/>
  <c r="B47" i="1"/>
  <c r="B46" i="1"/>
  <c r="B44" i="1"/>
  <c r="B43" i="1"/>
  <c r="B42" i="1"/>
  <c r="B41" i="1"/>
  <c r="I40" i="1"/>
  <c r="B40" i="1"/>
  <c r="B39" i="1"/>
  <c r="I38" i="1"/>
  <c r="B38" i="1"/>
  <c r="B36" i="1"/>
  <c r="M35" i="1"/>
  <c r="L35" i="1"/>
  <c r="E35" i="1"/>
  <c r="C35" i="1"/>
  <c r="B35" i="1"/>
  <c r="A35" i="1"/>
  <c r="A34" i="1"/>
  <c r="G28" i="1"/>
  <c r="B177" i="2" s="1"/>
  <c r="G26" i="1"/>
  <c r="J24" i="1"/>
  <c r="G24" i="1"/>
  <c r="B21" i="1"/>
  <c r="B20" i="1"/>
  <c r="B19" i="1"/>
  <c r="B18" i="1"/>
  <c r="A17" i="1"/>
  <c r="G15" i="1"/>
  <c r="B15" i="1"/>
  <c r="B14" i="1"/>
  <c r="G13" i="1"/>
  <c r="B13" i="1"/>
  <c r="B11" i="1"/>
  <c r="B10" i="1"/>
  <c r="L9" i="1"/>
  <c r="G9" i="1"/>
  <c r="B9" i="1"/>
  <c r="A8" i="1"/>
  <c r="J6" i="1"/>
  <c r="J5" i="1"/>
  <c r="J4" i="1"/>
  <c r="M2" i="1"/>
  <c r="C107" i="13"/>
  <c r="J102" i="13"/>
  <c r="B102" i="13"/>
  <c r="B101" i="13"/>
  <c r="B100" i="13"/>
  <c r="B97" i="13"/>
  <c r="B96" i="13"/>
  <c r="B93" i="13"/>
  <c r="B92" i="13"/>
  <c r="B91" i="13"/>
  <c r="B90" i="13"/>
  <c r="B89" i="13"/>
  <c r="B88" i="13"/>
  <c r="B87" i="13"/>
  <c r="B85" i="13"/>
  <c r="B84" i="13"/>
  <c r="B83" i="13"/>
  <c r="B82" i="13"/>
  <c r="B81" i="13"/>
  <c r="B80" i="13"/>
  <c r="B79" i="13"/>
  <c r="B78" i="13"/>
  <c r="B77" i="13"/>
  <c r="B76" i="13"/>
  <c r="B75" i="13"/>
  <c r="B72" i="13"/>
  <c r="B71" i="13"/>
  <c r="B70" i="13"/>
  <c r="B69" i="13"/>
  <c r="B67" i="13"/>
  <c r="B64" i="13"/>
  <c r="B63" i="13"/>
  <c r="B62" i="13"/>
  <c r="B61" i="13"/>
  <c r="B59" i="13"/>
  <c r="I57" i="13"/>
  <c r="B57" i="13"/>
  <c r="I56" i="13"/>
  <c r="B56" i="13"/>
  <c r="B55" i="13"/>
  <c r="B52" i="13"/>
  <c r="B51" i="13"/>
  <c r="B50" i="13"/>
  <c r="B49" i="13"/>
  <c r="B47" i="13"/>
  <c r="B46" i="13"/>
  <c r="B45" i="13"/>
  <c r="B44" i="13"/>
  <c r="B43" i="13"/>
  <c r="B42" i="13"/>
  <c r="B41" i="13"/>
  <c r="B40" i="13"/>
  <c r="B39" i="13"/>
  <c r="B38" i="13"/>
  <c r="B36" i="13"/>
  <c r="B34" i="13"/>
  <c r="B33" i="13"/>
  <c r="B32" i="13"/>
  <c r="B31" i="13"/>
  <c r="C30" i="13"/>
  <c r="B30" i="13"/>
  <c r="A30" i="13"/>
  <c r="A29" i="13"/>
  <c r="B21" i="13"/>
  <c r="B20" i="13"/>
  <c r="B19" i="13"/>
  <c r="B18" i="13"/>
  <c r="A17" i="13"/>
  <c r="G15" i="13"/>
  <c r="B15" i="13"/>
  <c r="B14" i="13"/>
  <c r="L13" i="13"/>
  <c r="G13" i="13"/>
  <c r="B13" i="13"/>
  <c r="B11" i="13"/>
  <c r="B10" i="13"/>
  <c r="L9" i="13"/>
  <c r="G9" i="13"/>
  <c r="B9" i="13"/>
  <c r="A8" i="13"/>
  <c r="J6" i="13"/>
  <c r="J5" i="13"/>
  <c r="J4" i="13"/>
  <c r="M2" i="13"/>
  <c r="E1" i="4"/>
  <c r="M1" i="4"/>
  <c r="E224" i="2"/>
  <c r="D30" i="13"/>
  <c r="D30" i="14"/>
  <c r="D30" i="16"/>
  <c r="D30" i="17"/>
  <c r="D30" i="18"/>
  <c r="D31" i="19"/>
  <c r="D30" i="20"/>
  <c r="D35" i="1"/>
  <c r="L96" i="14"/>
  <c r="L34" i="16"/>
  <c r="L102" i="13"/>
  <c r="L33" i="17"/>
  <c r="L33" i="16"/>
  <c r="L32" i="17"/>
  <c r="L31" i="17"/>
  <c r="L43" i="20"/>
  <c r="L58" i="20"/>
  <c r="L55" i="20"/>
  <c r="L38" i="20"/>
  <c r="L42" i="20"/>
  <c r="L40" i="20"/>
  <c r="L57" i="20"/>
  <c r="L49" i="20"/>
  <c r="L36" i="20"/>
  <c r="L47" i="20"/>
  <c r="L54" i="20"/>
  <c r="L34" i="20"/>
  <c r="L33" i="20"/>
  <c r="L45" i="22"/>
  <c r="L36" i="15"/>
  <c r="L31" i="16"/>
  <c r="L31" i="14"/>
  <c r="L31" i="21"/>
  <c r="L94" i="18"/>
  <c r="L88" i="18"/>
  <c r="L82" i="18"/>
  <c r="L73" i="18"/>
  <c r="L68" i="17"/>
  <c r="L62" i="17"/>
  <c r="L56" i="17"/>
  <c r="L48" i="17"/>
  <c r="L46" i="18"/>
  <c r="L74" i="17"/>
  <c r="L73" i="17"/>
  <c r="L71" i="18"/>
  <c r="L87" i="18"/>
  <c r="L81" i="18"/>
  <c r="L72" i="18"/>
  <c r="L67" i="17"/>
  <c r="L61" i="17"/>
  <c r="L55" i="17"/>
  <c r="L47" i="17"/>
  <c r="L65" i="18"/>
  <c r="L59" i="18"/>
  <c r="L45" i="18"/>
  <c r="L94" i="17"/>
  <c r="L88" i="17"/>
  <c r="L86" i="18"/>
  <c r="L91" i="18"/>
  <c r="L85" i="18"/>
  <c r="L76" i="18"/>
  <c r="L70" i="18"/>
  <c r="L98" i="17"/>
  <c r="L71" i="17"/>
  <c r="L65" i="17"/>
  <c r="L59" i="17"/>
  <c r="L51" i="17"/>
  <c r="L63" i="18"/>
  <c r="L57" i="18"/>
  <c r="L49" i="18"/>
  <c r="L86" i="17"/>
  <c r="L77" i="17"/>
  <c r="L64" i="17"/>
  <c r="L44" i="17"/>
  <c r="L75" i="17"/>
  <c r="L69" i="18"/>
  <c r="L77" i="18"/>
  <c r="L90" i="18"/>
  <c r="L84" i="18"/>
  <c r="L78" i="18"/>
  <c r="L75" i="18"/>
  <c r="L97" i="17"/>
  <c r="L70" i="17"/>
  <c r="L58" i="17"/>
  <c r="L50" i="17"/>
  <c r="L89" i="17"/>
  <c r="L60" i="17"/>
  <c r="L68" i="18"/>
  <c r="L62" i="18"/>
  <c r="L56" i="18"/>
  <c r="L42" i="18"/>
  <c r="L72" i="17"/>
  <c r="L91" i="17"/>
  <c r="L85" i="17"/>
  <c r="L76" i="17"/>
  <c r="L95" i="18"/>
  <c r="L83" i="18"/>
  <c r="L74" i="18"/>
  <c r="L69" i="17"/>
  <c r="L63" i="17"/>
  <c r="L57" i="17"/>
  <c r="L49" i="17"/>
  <c r="L67" i="18"/>
  <c r="L61" i="18"/>
  <c r="L90" i="17"/>
  <c r="L84" i="17"/>
  <c r="L66" i="18"/>
  <c r="L80" i="17"/>
  <c r="L79" i="17"/>
  <c r="L52" i="17"/>
  <c r="L60" i="18"/>
  <c r="L83" i="17"/>
  <c r="L80" i="18"/>
  <c r="L66" i="17"/>
  <c r="L64" i="18"/>
  <c r="L93" i="17"/>
  <c r="L58" i="18"/>
  <c r="L87" i="17"/>
  <c r="L52" i="18"/>
  <c r="L81" i="17"/>
  <c r="L78" i="17"/>
  <c r="L96" i="16"/>
  <c r="L84" i="16"/>
  <c r="L71" i="16"/>
  <c r="L89" i="14"/>
  <c r="L83" i="14"/>
  <c r="L77" i="14"/>
  <c r="L74" i="14"/>
  <c r="L68" i="14"/>
  <c r="L65" i="14"/>
  <c r="L59" i="14"/>
  <c r="L53" i="14"/>
  <c r="L45" i="14"/>
  <c r="L84" i="21"/>
  <c r="L75" i="15"/>
  <c r="L69" i="15"/>
  <c r="L63" i="15"/>
  <c r="L57" i="15"/>
  <c r="L49" i="15"/>
  <c r="L43" i="15"/>
  <c r="L95" i="21"/>
  <c r="L74" i="21"/>
  <c r="L62" i="21"/>
  <c r="L56" i="21"/>
  <c r="L91" i="15"/>
  <c r="L85" i="15"/>
  <c r="L79" i="15"/>
  <c r="L70" i="16"/>
  <c r="L66" i="16"/>
  <c r="L60" i="16"/>
  <c r="L54" i="16"/>
  <c r="L47" i="16"/>
  <c r="L95" i="16"/>
  <c r="L89" i="16"/>
  <c r="L83" i="16"/>
  <c r="L76" i="16"/>
  <c r="L93" i="14"/>
  <c r="L82" i="14"/>
  <c r="L73" i="14"/>
  <c r="L64" i="14"/>
  <c r="L58" i="14"/>
  <c r="L52" i="14"/>
  <c r="L44" i="14"/>
  <c r="L65" i="16"/>
  <c r="L59" i="16"/>
  <c r="L46" i="16"/>
  <c r="L73" i="21"/>
  <c r="L88" i="16"/>
  <c r="L82" i="16"/>
  <c r="L75" i="16"/>
  <c r="L87" i="14"/>
  <c r="L81" i="14"/>
  <c r="L72" i="14"/>
  <c r="L63" i="14"/>
  <c r="L57" i="14"/>
  <c r="L51" i="14"/>
  <c r="L88" i="21"/>
  <c r="L82" i="21"/>
  <c r="L64" i="16"/>
  <c r="L58" i="16"/>
  <c r="L53" i="16"/>
  <c r="L72" i="21"/>
  <c r="L66" i="21"/>
  <c r="L60" i="21"/>
  <c r="L54" i="21"/>
  <c r="L49" i="21"/>
  <c r="L43" i="21"/>
  <c r="L95" i="15"/>
  <c r="L89" i="15"/>
  <c r="L83" i="15"/>
  <c r="L78" i="15"/>
  <c r="L87" i="16"/>
  <c r="L81" i="16"/>
  <c r="L78" i="16"/>
  <c r="L74" i="16"/>
  <c r="L86" i="14"/>
  <c r="L80" i="14"/>
  <c r="L71" i="14"/>
  <c r="L62" i="14"/>
  <c r="L56" i="14"/>
  <c r="L48" i="14"/>
  <c r="L87" i="21"/>
  <c r="L81" i="21"/>
  <c r="L78" i="21"/>
  <c r="L72" i="15"/>
  <c r="L66" i="15"/>
  <c r="L60" i="15"/>
  <c r="L54" i="15"/>
  <c r="L46" i="15"/>
  <c r="L63" i="16"/>
  <c r="L71" i="21"/>
  <c r="L65" i="21"/>
  <c r="L59" i="21"/>
  <c r="L48" i="21"/>
  <c r="L69" i="16"/>
  <c r="L57" i="16"/>
  <c r="L50" i="16"/>
  <c r="L88" i="15"/>
  <c r="L82" i="15"/>
  <c r="L33" i="15"/>
  <c r="L92" i="16"/>
  <c r="L86" i="16"/>
  <c r="L77" i="16"/>
  <c r="L73" i="16"/>
  <c r="L85" i="14"/>
  <c r="L79" i="14"/>
  <c r="L76" i="14"/>
  <c r="L70" i="14"/>
  <c r="L67" i="14"/>
  <c r="L61" i="14"/>
  <c r="L55" i="14"/>
  <c r="L47" i="14"/>
  <c r="L41" i="14"/>
  <c r="L68" i="16"/>
  <c r="L62" i="16"/>
  <c r="L56" i="16"/>
  <c r="L49" i="16"/>
  <c r="L43" i="16"/>
  <c r="L76" i="21"/>
  <c r="L64" i="21"/>
  <c r="L58" i="21"/>
  <c r="L47" i="21"/>
  <c r="L33" i="21"/>
  <c r="L87" i="15"/>
  <c r="L81" i="15"/>
  <c r="L91" i="16"/>
  <c r="L85" i="16"/>
  <c r="L79" i="16"/>
  <c r="L90" i="14"/>
  <c r="L84" i="14"/>
  <c r="L75" i="14"/>
  <c r="L66" i="14"/>
  <c r="L60" i="14"/>
  <c r="L54" i="14"/>
  <c r="L46" i="14"/>
  <c r="L91" i="21"/>
  <c r="L85" i="21"/>
  <c r="L79" i="21"/>
  <c r="L92" i="21"/>
  <c r="L70" i="21"/>
  <c r="L74" i="15"/>
  <c r="L51" i="15"/>
  <c r="L32" i="15"/>
  <c r="L67" i="21"/>
  <c r="L96" i="15"/>
  <c r="L70" i="15"/>
  <c r="L67" i="16"/>
  <c r="L50" i="15"/>
  <c r="L55" i="16"/>
  <c r="L86" i="21"/>
  <c r="L55" i="21"/>
  <c r="L84" i="15"/>
  <c r="L61" i="15"/>
  <c r="L69" i="14"/>
  <c r="L83" i="21"/>
  <c r="L59" i="15"/>
  <c r="L61" i="16"/>
  <c r="L89" i="21"/>
  <c r="L57" i="21"/>
  <c r="L46" i="21"/>
  <c r="L86" i="15"/>
  <c r="L73" i="15"/>
  <c r="L62" i="15"/>
  <c r="L71" i="15"/>
  <c r="L48" i="15"/>
  <c r="L48" i="16"/>
  <c r="L32" i="21"/>
  <c r="L58" i="15"/>
  <c r="L47" i="15"/>
  <c r="L68" i="15"/>
  <c r="L57" i="13"/>
  <c r="L75" i="21"/>
  <c r="L50" i="21"/>
  <c r="L65" i="15"/>
  <c r="L63" i="21"/>
  <c r="L92" i="15"/>
  <c r="L58" i="13"/>
  <c r="L94" i="14"/>
  <c r="L77" i="15"/>
  <c r="L67" i="15"/>
  <c r="L56" i="15"/>
  <c r="L96" i="21"/>
  <c r="L61" i="21"/>
  <c r="L76" i="15"/>
  <c r="L77" i="21"/>
  <c r="L64" i="15"/>
  <c r="L55" i="15"/>
  <c r="L41" i="17"/>
  <c r="L39" i="18"/>
  <c r="L79" i="18"/>
  <c r="L45" i="17"/>
  <c r="L39" i="17"/>
  <c r="L43" i="18"/>
  <c r="L92" i="17"/>
  <c r="L42" i="17"/>
  <c r="L33" i="18"/>
  <c r="L40" i="17"/>
  <c r="L44" i="19"/>
  <c r="L36" i="18"/>
  <c r="L89" i="18"/>
  <c r="L43" i="17"/>
  <c r="L41" i="18"/>
  <c r="L40" i="18"/>
  <c r="L46" i="17"/>
  <c r="L82" i="17"/>
  <c r="L44" i="18"/>
  <c r="L38" i="18"/>
  <c r="L90" i="16"/>
  <c r="L39" i="14"/>
  <c r="L90" i="21"/>
  <c r="L32" i="14"/>
  <c r="L39" i="15"/>
  <c r="L45" i="21"/>
  <c r="L38" i="21"/>
  <c r="L38" i="17"/>
  <c r="L41" i="16"/>
  <c r="L88" i="14"/>
  <c r="L38" i="14"/>
  <c r="L35" i="17"/>
  <c r="L40" i="16"/>
  <c r="L43" i="14"/>
  <c r="L37" i="14"/>
  <c r="L45" i="16"/>
  <c r="L39" i="16"/>
  <c r="L42" i="14"/>
  <c r="L40" i="15"/>
  <c r="L34" i="21"/>
  <c r="L44" i="16"/>
  <c r="L42" i="21"/>
  <c r="L80" i="16"/>
  <c r="L37" i="16"/>
  <c r="L35" i="14"/>
  <c r="L41" i="21"/>
  <c r="L38" i="15"/>
  <c r="L78" i="14"/>
  <c r="L40" i="14"/>
  <c r="L41" i="15"/>
  <c r="L44" i="21"/>
  <c r="L80" i="21"/>
  <c r="L37" i="15"/>
  <c r="L42" i="16"/>
  <c r="L45" i="15"/>
  <c r="L39" i="21"/>
  <c r="L40" i="21"/>
  <c r="L80" i="15"/>
  <c r="L44" i="15"/>
  <c r="L37" i="21"/>
  <c r="L90" i="15"/>
  <c r="L42" i="15"/>
  <c r="L34" i="15"/>
  <c r="L39" i="13"/>
  <c r="D108" i="1"/>
  <c r="D62" i="1"/>
  <c r="D98" i="1"/>
  <c r="D49" i="1"/>
  <c r="D82" i="1"/>
  <c r="D85" i="1"/>
  <c r="D91" i="1"/>
  <c r="D86" i="1"/>
  <c r="D96" i="1"/>
  <c r="D67" i="1"/>
  <c r="D83" i="1"/>
  <c r="D107" i="1"/>
  <c r="D70" i="1"/>
  <c r="L36" i="21"/>
  <c r="L36" i="16"/>
  <c r="L37" i="17"/>
  <c r="L32" i="16"/>
  <c r="L56" i="13"/>
  <c r="L90" i="1"/>
  <c r="L101" i="13"/>
  <c r="L32" i="19"/>
  <c r="L33" i="19"/>
  <c r="L34" i="19"/>
  <c r="L32" i="18"/>
  <c r="L34" i="17"/>
  <c r="L69" i="21"/>
  <c r="L72" i="16"/>
  <c r="L68" i="21"/>
  <c r="L99" i="17"/>
  <c r="L96" i="18"/>
  <c r="L97" i="16"/>
  <c r="L76" i="19"/>
  <c r="L97" i="18"/>
  <c r="L100" i="17"/>
  <c r="L98" i="16"/>
  <c r="L95" i="14"/>
  <c r="L98" i="21"/>
  <c r="L97" i="21"/>
  <c r="L98" i="15"/>
  <c r="L97" i="15"/>
  <c r="L72" i="1"/>
  <c r="L51" i="1"/>
  <c r="L77" i="1"/>
  <c r="L31" i="18"/>
  <c r="L40" i="19"/>
  <c r="L34" i="18"/>
  <c r="L36" i="17"/>
  <c r="L34" i="14"/>
  <c r="L35" i="15"/>
  <c r="L33" i="14"/>
  <c r="L35" i="16"/>
  <c r="L35" i="21"/>
  <c r="Q31" i="24" l="1"/>
  <c r="Q59" i="24"/>
  <c r="P59" i="24"/>
  <c r="P59" i="20"/>
  <c r="Q59" i="20"/>
  <c r="EF59" i="24"/>
  <c r="DP59" i="24"/>
  <c r="DP59" i="20"/>
  <c r="EF59" i="20"/>
  <c r="Q51" i="24"/>
  <c r="Q37" i="24"/>
  <c r="P50" i="24"/>
  <c r="Q35" i="24"/>
  <c r="Q44" i="24"/>
  <c r="P44" i="24"/>
  <c r="Q41" i="24"/>
  <c r="P41" i="24"/>
  <c r="Q39" i="24"/>
  <c r="Q50" i="24"/>
  <c r="P35" i="24"/>
  <c r="P37" i="24"/>
  <c r="P39" i="24"/>
  <c r="P48" i="24"/>
  <c r="Q48" i="24"/>
  <c r="Q46" i="24"/>
  <c r="P46" i="24"/>
  <c r="Q51" i="20"/>
  <c r="D31" i="24"/>
  <c r="R51" i="24"/>
  <c r="D51" i="20"/>
  <c r="R51" i="20"/>
  <c r="Q50" i="20"/>
  <c r="P50" i="20"/>
  <c r="Q48" i="20"/>
  <c r="P48" i="20"/>
  <c r="A233" i="2"/>
  <c r="J80" i="1" s="1"/>
  <c r="A242" i="2"/>
  <c r="D88" i="1" s="1"/>
  <c r="J76" i="22"/>
  <c r="J90" i="22"/>
  <c r="J91" i="22"/>
  <c r="Q41" i="20"/>
  <c r="P41" i="20"/>
  <c r="A222" i="23"/>
  <c r="J79" i="22" s="1"/>
  <c r="Q46" i="20"/>
  <c r="P46" i="20"/>
  <c r="Q44" i="20"/>
  <c r="P44" i="20"/>
  <c r="P39" i="20"/>
  <c r="Q39" i="20"/>
  <c r="Q35" i="20"/>
  <c r="P35" i="20"/>
  <c r="P37" i="20"/>
  <c r="Q37" i="20"/>
  <c r="S31" i="20"/>
  <c r="R31" i="20"/>
  <c r="D31" i="20"/>
  <c r="J44" i="1"/>
  <c r="A215" i="2"/>
  <c r="J56" i="1" s="1"/>
  <c r="A194" i="23"/>
  <c r="J44" i="22" s="1"/>
  <c r="A228" i="23"/>
  <c r="J72" i="22" s="1"/>
  <c r="A237" i="23"/>
  <c r="D80" i="22" s="1"/>
  <c r="A231" i="23"/>
  <c r="J78" i="22" s="1"/>
  <c r="A268" i="23"/>
  <c r="J84" i="22" s="1"/>
  <c r="B160" i="2"/>
  <c r="J36" i="1" s="1"/>
  <c r="B165" i="2"/>
  <c r="A225" i="23"/>
  <c r="J62" i="22" s="1"/>
  <c r="B166" i="2"/>
  <c r="A180" i="2"/>
  <c r="J107" i="1" s="1"/>
  <c r="A217" i="23"/>
  <c r="J54" i="22" s="1"/>
  <c r="A183" i="2"/>
  <c r="J61" i="1" s="1"/>
  <c r="P105" i="22"/>
  <c r="L105" i="22" s="1"/>
  <c r="Q105" i="22"/>
  <c r="Q101" i="22"/>
  <c r="P101" i="22"/>
  <c r="L101" i="22" s="1"/>
  <c r="Q104" i="22"/>
  <c r="P104" i="22"/>
  <c r="L104" i="22" s="1"/>
  <c r="Q100" i="22"/>
  <c r="Q103" i="22"/>
  <c r="P100" i="22"/>
  <c r="L100" i="22" s="1"/>
  <c r="P103" i="22"/>
  <c r="L103" i="22" s="1"/>
  <c r="A191" i="23"/>
  <c r="J43" i="22" s="1"/>
  <c r="L32" i="20"/>
  <c r="Q31" i="20"/>
  <c r="B161" i="23"/>
  <c r="B161" i="2"/>
  <c r="J37" i="1" s="1"/>
  <c r="B167" i="2"/>
  <c r="J39" i="1"/>
  <c r="B172" i="2"/>
  <c r="B204" i="2"/>
  <c r="J53" i="1" s="1"/>
  <c r="B176" i="2"/>
  <c r="Q85" i="22"/>
  <c r="P85" i="22"/>
  <c r="Q73" i="22"/>
  <c r="Q84" i="22"/>
  <c r="P84" i="22"/>
  <c r="L84" i="22" s="1"/>
  <c r="B203" i="2"/>
  <c r="J54" i="1" s="1"/>
  <c r="A236" i="2"/>
  <c r="J96" i="1" s="1"/>
  <c r="A207" i="2"/>
  <c r="J55" i="1" s="1"/>
  <c r="A175" i="23"/>
  <c r="J38" i="22" s="1"/>
  <c r="J61" i="22"/>
  <c r="B160" i="23"/>
  <c r="D82" i="22"/>
  <c r="J40" i="22"/>
  <c r="A181" i="23"/>
  <c r="J97" i="22" s="1"/>
  <c r="J36" i="22"/>
  <c r="J39" i="22"/>
  <c r="B166" i="23"/>
  <c r="E166" i="23" s="1"/>
  <c r="B171" i="2"/>
  <c r="E171" i="2" s="1"/>
  <c r="A186" i="2"/>
  <c r="J106" i="1" s="1"/>
  <c r="B199" i="23"/>
  <c r="E199" i="23" s="1"/>
  <c r="B167" i="23"/>
  <c r="E167" i="23" s="1"/>
  <c r="B171" i="23"/>
  <c r="B172" i="23"/>
  <c r="A178" i="23"/>
  <c r="J52" i="22" s="1"/>
  <c r="J34" i="22"/>
  <c r="B155" i="23"/>
  <c r="E155" i="23" s="1"/>
  <c r="B156" i="23"/>
  <c r="E156" i="23" s="1"/>
  <c r="A230" i="2"/>
  <c r="J70" i="1" s="1"/>
  <c r="A196" i="2"/>
  <c r="J48" i="1" s="1"/>
  <c r="A273" i="2"/>
  <c r="J92" i="1" s="1"/>
  <c r="Q92" i="14"/>
  <c r="Q114" i="1"/>
  <c r="P114" i="1"/>
  <c r="P110" i="1"/>
  <c r="L110" i="1" s="1"/>
  <c r="Q113" i="1"/>
  <c r="P113" i="1"/>
  <c r="Q110" i="1"/>
  <c r="A227" i="2"/>
  <c r="J67" i="1" s="1"/>
  <c r="J100" i="1"/>
  <c r="J89" i="1"/>
  <c r="J41" i="1"/>
  <c r="A259" i="2"/>
  <c r="J91" i="1" s="1"/>
  <c r="J84" i="1"/>
  <c r="J99" i="1"/>
  <c r="J45" i="1"/>
  <c r="E223" i="2"/>
  <c r="A199" i="2"/>
  <c r="J49" i="1" s="1"/>
  <c r="A248" i="2"/>
  <c r="J69" i="1" s="1"/>
  <c r="Q109" i="1"/>
  <c r="P109" i="1"/>
  <c r="L109" i="1" s="1"/>
  <c r="A219" i="2"/>
  <c r="J57" i="1" s="1"/>
  <c r="D57" i="1"/>
  <c r="D36" i="1"/>
  <c r="D105" i="1"/>
  <c r="D37" i="1"/>
  <c r="D39" i="1"/>
  <c r="D53" i="1"/>
  <c r="D54" i="1"/>
  <c r="D43" i="1"/>
  <c r="D61" i="1"/>
  <c r="L59" i="1"/>
  <c r="J59" i="1"/>
  <c r="J58" i="1"/>
  <c r="A189" i="2"/>
  <c r="Q93" i="1"/>
  <c r="P93" i="1"/>
  <c r="L93" i="1" s="1"/>
  <c r="E172" i="2"/>
  <c r="A222" i="2"/>
  <c r="J62" i="1" s="1"/>
  <c r="J78" i="1"/>
  <c r="J93" i="1"/>
  <c r="D50" i="13"/>
  <c r="D50" i="17"/>
  <c r="D49" i="13"/>
  <c r="D49" i="17"/>
  <c r="D47" i="14"/>
  <c r="D90" i="1"/>
  <c r="D55" i="1"/>
  <c r="D32" i="19"/>
  <c r="D34" i="19"/>
  <c r="R32" i="19"/>
  <c r="P71" i="22"/>
  <c r="L71" i="22" s="1"/>
  <c r="P80" i="22"/>
  <c r="P50" i="22"/>
  <c r="L50" i="22" s="1"/>
  <c r="P42" i="22"/>
  <c r="L42" i="22" s="1"/>
  <c r="Q70" i="22"/>
  <c r="Q69" i="22"/>
  <c r="Q78" i="22"/>
  <c r="Q86" i="22"/>
  <c r="Q37" i="22"/>
  <c r="P46" i="22"/>
  <c r="L46" i="22" s="1"/>
  <c r="P56" i="22"/>
  <c r="L56" i="22" s="1"/>
  <c r="P34" i="22"/>
  <c r="L34" i="22" s="1"/>
  <c r="Q61" i="22"/>
  <c r="Q99" i="22"/>
  <c r="P53" i="22"/>
  <c r="L53" i="22" s="1"/>
  <c r="Q47" i="24"/>
  <c r="Q87" i="22"/>
  <c r="P56" i="24"/>
  <c r="Q45" i="24"/>
  <c r="Q76" i="22"/>
  <c r="P72" i="22"/>
  <c r="L72" i="22" s="1"/>
  <c r="Q33" i="22"/>
  <c r="Q77" i="22"/>
  <c r="Q97" i="22"/>
  <c r="P52" i="15"/>
  <c r="Q53" i="15"/>
  <c r="P53" i="15"/>
  <c r="Q52" i="15"/>
  <c r="P65" i="22"/>
  <c r="Q62" i="22"/>
  <c r="P102" i="22"/>
  <c r="L102" i="22" s="1"/>
  <c r="P66" i="22"/>
  <c r="L66" i="22" s="1"/>
  <c r="Q68" i="22"/>
  <c r="Q72" i="22"/>
  <c r="P54" i="22"/>
  <c r="L54" i="22" s="1"/>
  <c r="Q66" i="22"/>
  <c r="P74" i="22"/>
  <c r="L74" i="22" s="1"/>
  <c r="P51" i="22"/>
  <c r="L51" i="22" s="1"/>
  <c r="P76" i="22"/>
  <c r="L76" i="22" s="1"/>
  <c r="Q43" i="24"/>
  <c r="Q65" i="22"/>
  <c r="Q36" i="24"/>
  <c r="Q57" i="24"/>
  <c r="P58" i="22"/>
  <c r="L58" i="22" s="1"/>
  <c r="Q90" i="22"/>
  <c r="P42" i="24"/>
  <c r="P36" i="22"/>
  <c r="L36" i="22" s="1"/>
  <c r="Q34" i="24"/>
  <c r="P82" i="22"/>
  <c r="Q71" i="22"/>
  <c r="P97" i="22"/>
  <c r="L97" i="22" s="1"/>
  <c r="P57" i="22"/>
  <c r="L57" i="22" s="1"/>
  <c r="Q94" i="22"/>
  <c r="P40" i="22"/>
  <c r="L40" i="22" s="1"/>
  <c r="Q51" i="22"/>
  <c r="Q91" i="22"/>
  <c r="Q54" i="22"/>
  <c r="P77" i="22"/>
  <c r="L77" i="22" s="1"/>
  <c r="P78" i="22"/>
  <c r="L78" i="22" s="1"/>
  <c r="P99" i="22"/>
  <c r="L99" i="22" s="1"/>
  <c r="Q102" i="22"/>
  <c r="P63" i="22"/>
  <c r="P89" i="22"/>
  <c r="L89" i="22" s="1"/>
  <c r="Q52" i="24"/>
  <c r="P96" i="22"/>
  <c r="L96" i="22" s="1"/>
  <c r="P60" i="22"/>
  <c r="L60" i="22" s="1"/>
  <c r="P49" i="22"/>
  <c r="L49" i="22" s="1"/>
  <c r="Q58" i="24"/>
  <c r="P55" i="24"/>
  <c r="Q79" i="22"/>
  <c r="P70" i="22"/>
  <c r="L70" i="22" s="1"/>
  <c r="Q81" i="22"/>
  <c r="P44" i="22"/>
  <c r="L44" i="22" s="1"/>
  <c r="Q49" i="24"/>
  <c r="P58" i="24"/>
  <c r="Q96" i="22"/>
  <c r="Q98" i="22"/>
  <c r="P40" i="24"/>
  <c r="Q33" i="24"/>
  <c r="P69" i="22"/>
  <c r="L69" i="22" s="1"/>
  <c r="Q80" i="22"/>
  <c r="Q107" i="22"/>
  <c r="Q82" i="22"/>
  <c r="P88" i="22"/>
  <c r="L88" i="22" s="1"/>
  <c r="P49" i="24"/>
  <c r="Q55" i="24"/>
  <c r="P54" i="24"/>
  <c r="Q36" i="22"/>
  <c r="P34" i="24"/>
  <c r="P106" i="22"/>
  <c r="L106" i="22" s="1"/>
  <c r="Q75" i="22"/>
  <c r="Q42" i="24"/>
  <c r="P83" i="22"/>
  <c r="L83" i="22" s="1"/>
  <c r="Q42" i="22"/>
  <c r="P36" i="24"/>
  <c r="Q56" i="22"/>
  <c r="P90" i="22"/>
  <c r="L90" i="22" s="1"/>
  <c r="Q74" i="22"/>
  <c r="Q92" i="22"/>
  <c r="Q83" i="22"/>
  <c r="P41" i="22"/>
  <c r="L41" i="22" s="1"/>
  <c r="P52" i="24"/>
  <c r="Q40" i="22"/>
  <c r="Q49" i="22"/>
  <c r="Q64" i="22"/>
  <c r="Q46" i="22"/>
  <c r="P62" i="22"/>
  <c r="L62" i="22" s="1"/>
  <c r="Q58" i="22"/>
  <c r="Q43" i="22"/>
  <c r="P57" i="24"/>
  <c r="P53" i="24"/>
  <c r="P43" i="22"/>
  <c r="L43" i="22" s="1"/>
  <c r="P81" i="22"/>
  <c r="L81" i="22" s="1"/>
  <c r="Q67" i="22"/>
  <c r="P68" i="22"/>
  <c r="L68" i="22" s="1"/>
  <c r="Q34" i="22"/>
  <c r="Q57" i="22"/>
  <c r="Q106" i="22"/>
  <c r="Q50" i="22"/>
  <c r="P73" i="22"/>
  <c r="L73" i="22" s="1"/>
  <c r="P79" i="22"/>
  <c r="L79" i="22" s="1"/>
  <c r="P91" i="22"/>
  <c r="L91" i="22" s="1"/>
  <c r="Q56" i="24"/>
  <c r="Q89" i="22"/>
  <c r="P47" i="24"/>
  <c r="Q88" i="22"/>
  <c r="P33" i="22"/>
  <c r="L33" i="22" s="1"/>
  <c r="Q40" i="24"/>
  <c r="Q53" i="24"/>
  <c r="P52" i="22"/>
  <c r="L52" i="22" s="1"/>
  <c r="P38" i="22"/>
  <c r="L38" i="22" s="1"/>
  <c r="Q39" i="22"/>
  <c r="Q54" i="24"/>
  <c r="Q35" i="22"/>
  <c r="Q38" i="24"/>
  <c r="Q38" i="22"/>
  <c r="P43" i="24"/>
  <c r="Q44" i="22"/>
  <c r="Q41" i="22"/>
  <c r="P107" i="22"/>
  <c r="L107" i="22" s="1"/>
  <c r="Q63" i="22"/>
  <c r="P75" i="22"/>
  <c r="L75" i="22" s="1"/>
  <c r="P98" i="22"/>
  <c r="L98" i="22" s="1"/>
  <c r="P39" i="22"/>
  <c r="L39" i="22" s="1"/>
  <c r="Q52" i="22"/>
  <c r="P33" i="24"/>
  <c r="P38" i="24"/>
  <c r="P64" i="22"/>
  <c r="P61" i="22"/>
  <c r="L61" i="22" s="1"/>
  <c r="Q97" i="13"/>
  <c r="P53" i="13"/>
  <c r="L53" i="13" s="1"/>
  <c r="Q53" i="13"/>
  <c r="P54" i="13"/>
  <c r="L54" i="13" s="1"/>
  <c r="Q54" i="13"/>
  <c r="P35" i="22"/>
  <c r="D38" i="15"/>
  <c r="Q53" i="22"/>
  <c r="D45" i="24"/>
  <c r="P37" i="22"/>
  <c r="L37" i="22" s="1"/>
  <c r="P74" i="13"/>
  <c r="L74" i="13" s="1"/>
  <c r="Q83" i="15"/>
  <c r="D56" i="24"/>
  <c r="Q37" i="14"/>
  <c r="D63" i="22"/>
  <c r="Q38" i="20"/>
  <c r="Q36" i="14"/>
  <c r="P41" i="15"/>
  <c r="P75" i="1"/>
  <c r="Q96" i="17"/>
  <c r="Q90" i="15"/>
  <c r="P41" i="18"/>
  <c r="Q60" i="21"/>
  <c r="Q68" i="16"/>
  <c r="P92" i="14"/>
  <c r="D44" i="19"/>
  <c r="R33" i="19"/>
  <c r="A184" i="23"/>
  <c r="P75" i="19"/>
  <c r="L75" i="19" s="1"/>
  <c r="D71" i="1"/>
  <c r="D36" i="13"/>
  <c r="Q94" i="15"/>
  <c r="Q37" i="17"/>
  <c r="P38" i="18"/>
  <c r="Q43" i="15"/>
  <c r="P69" i="21"/>
  <c r="Q83" i="13"/>
  <c r="P71" i="14"/>
  <c r="Q62" i="14"/>
  <c r="Q66" i="16"/>
  <c r="P83" i="18"/>
  <c r="P56" i="18"/>
  <c r="P82" i="18"/>
  <c r="P34" i="20"/>
  <c r="R103" i="1"/>
  <c r="L103" i="1" s="1"/>
  <c r="D64" i="22"/>
  <c r="P96" i="13"/>
  <c r="L96" i="13" s="1"/>
  <c r="Q41" i="15"/>
  <c r="Q65" i="14"/>
  <c r="Q77" i="17"/>
  <c r="Q60" i="22"/>
  <c r="Q39" i="13"/>
  <c r="Q69" i="13"/>
  <c r="P105" i="1"/>
  <c r="L105" i="1" s="1"/>
  <c r="D38" i="1"/>
  <c r="Q55" i="22"/>
  <c r="D35" i="22"/>
  <c r="Q46" i="19"/>
  <c r="Q80" i="21"/>
  <c r="P62" i="16"/>
  <c r="P95" i="21"/>
  <c r="P63" i="18"/>
  <c r="Q98" i="1"/>
  <c r="P32" i="24"/>
  <c r="D33" i="22"/>
  <c r="Q74" i="13"/>
  <c r="P55" i="16"/>
  <c r="Q56" i="14"/>
  <c r="P39" i="21"/>
  <c r="Q38" i="21"/>
  <c r="P55" i="19"/>
  <c r="L55" i="19" s="1"/>
  <c r="P62" i="15"/>
  <c r="P83" i="13"/>
  <c r="L83" i="13" s="1"/>
  <c r="P84" i="13"/>
  <c r="L84" i="13" s="1"/>
  <c r="P75" i="14"/>
  <c r="Q81" i="13"/>
  <c r="Q70" i="14"/>
  <c r="Q60" i="15"/>
  <c r="P54" i="21"/>
  <c r="Q79" i="15"/>
  <c r="Q65" i="19"/>
  <c r="P63" i="17"/>
  <c r="P64" i="17"/>
  <c r="Q56" i="20"/>
  <c r="Q49" i="1"/>
  <c r="Q35" i="13"/>
  <c r="R34" i="19"/>
  <c r="Q85" i="13"/>
  <c r="P80" i="17"/>
  <c r="Q45" i="16"/>
  <c r="P44" i="19"/>
  <c r="Q55" i="13"/>
  <c r="Q76" i="21"/>
  <c r="P75" i="21"/>
  <c r="P93" i="13"/>
  <c r="L93" i="13" s="1"/>
  <c r="Q94" i="13"/>
  <c r="Q66" i="14"/>
  <c r="P72" i="14"/>
  <c r="Q85" i="15"/>
  <c r="Q39" i="1"/>
  <c r="Q73" i="21"/>
  <c r="P83" i="21"/>
  <c r="Q96" i="21"/>
  <c r="Q75" i="14"/>
  <c r="P69" i="16"/>
  <c r="P60" i="15"/>
  <c r="Q69" i="16"/>
  <c r="Q71" i="17"/>
  <c r="P73" i="19"/>
  <c r="L73" i="19" s="1"/>
  <c r="Q70" i="19"/>
  <c r="P80" i="1"/>
  <c r="L80" i="1" s="1"/>
  <c r="Q111" i="1"/>
  <c r="D40" i="1"/>
  <c r="D56" i="20"/>
  <c r="P59" i="22"/>
  <c r="L59" i="22" s="1"/>
  <c r="P32" i="22"/>
  <c r="L32" i="22" s="1"/>
  <c r="P43" i="17"/>
  <c r="Q80" i="13"/>
  <c r="Q59" i="14"/>
  <c r="Q41" i="14"/>
  <c r="P85" i="15"/>
  <c r="Q72" i="19"/>
  <c r="Q75" i="18"/>
  <c r="P62" i="17"/>
  <c r="Q46" i="1"/>
  <c r="Q42" i="13"/>
  <c r="P35" i="17"/>
  <c r="P45" i="16"/>
  <c r="Q51" i="1"/>
  <c r="Q32" i="20"/>
  <c r="Q35" i="17"/>
  <c r="Q50" i="1"/>
  <c r="Q37" i="1"/>
  <c r="P50" i="1"/>
  <c r="L50" i="1" s="1"/>
  <c r="Q42" i="19"/>
  <c r="Q79" i="18"/>
  <c r="P39" i="14"/>
  <c r="P34" i="16"/>
  <c r="P42" i="19"/>
  <c r="L42" i="19" s="1"/>
  <c r="P33" i="18"/>
  <c r="Q42" i="17"/>
  <c r="Q45" i="17"/>
  <c r="P42" i="13"/>
  <c r="L42" i="13" s="1"/>
  <c r="P42" i="14"/>
  <c r="P37" i="16"/>
  <c r="P78" i="14"/>
  <c r="Q44" i="21"/>
  <c r="Q82" i="13"/>
  <c r="Q40" i="21"/>
  <c r="Q34" i="15"/>
  <c r="P45" i="13"/>
  <c r="L45" i="13" s="1"/>
  <c r="Q34" i="16"/>
  <c r="Q63" i="1"/>
  <c r="P89" i="18"/>
  <c r="Q41" i="16"/>
  <c r="P40" i="16"/>
  <c r="P42" i="21"/>
  <c r="Q40" i="15"/>
  <c r="P33" i="13"/>
  <c r="L33" i="13" s="1"/>
  <c r="Q55" i="19"/>
  <c r="Q43" i="17"/>
  <c r="P38" i="16"/>
  <c r="Q90" i="16"/>
  <c r="P44" i="15"/>
  <c r="P42" i="15"/>
  <c r="Q46" i="17"/>
  <c r="P41" i="16"/>
  <c r="Q42" i="21"/>
  <c r="P40" i="14"/>
  <c r="Q36" i="1"/>
  <c r="Q40" i="18"/>
  <c r="P37" i="18"/>
  <c r="Q78" i="14"/>
  <c r="P80" i="21"/>
  <c r="Q32" i="17"/>
  <c r="P71" i="1"/>
  <c r="Q70" i="1"/>
  <c r="P64" i="1"/>
  <c r="L64" i="1" s="1"/>
  <c r="Q73" i="1"/>
  <c r="Q92" i="1"/>
  <c r="Q66" i="1"/>
  <c r="Q55" i="1"/>
  <c r="P66" i="1"/>
  <c r="L66" i="1" s="1"/>
  <c r="P57" i="1"/>
  <c r="L57" i="1" s="1"/>
  <c r="P99" i="1"/>
  <c r="L99" i="1" s="1"/>
  <c r="Q47" i="1"/>
  <c r="Q45" i="1"/>
  <c r="P83" i="1"/>
  <c r="L83" i="1" s="1"/>
  <c r="P98" i="1"/>
  <c r="L98" i="1" s="1"/>
  <c r="Q42" i="20"/>
  <c r="Q55" i="20"/>
  <c r="Q34" i="20"/>
  <c r="Q33" i="20"/>
  <c r="Q53" i="19"/>
  <c r="Q89" i="17"/>
  <c r="P56" i="17"/>
  <c r="P64" i="19"/>
  <c r="L64" i="19" s="1"/>
  <c r="P57" i="19"/>
  <c r="L57" i="19" s="1"/>
  <c r="Q59" i="18"/>
  <c r="Q86" i="18"/>
  <c r="P53" i="18"/>
  <c r="P86" i="18"/>
  <c r="P63" i="19"/>
  <c r="L63" i="19" s="1"/>
  <c r="Q62" i="19"/>
  <c r="P56" i="19"/>
  <c r="L56" i="19" s="1"/>
  <c r="Q61" i="19"/>
  <c r="P59" i="17"/>
  <c r="Q69" i="18"/>
  <c r="Q97" i="17"/>
  <c r="Q64" i="17"/>
  <c r="P75" i="17"/>
  <c r="Q66" i="19"/>
  <c r="P84" i="18"/>
  <c r="Q56" i="18"/>
  <c r="P70" i="17"/>
  <c r="Q87" i="18"/>
  <c r="P92" i="18"/>
  <c r="P66" i="19"/>
  <c r="L66" i="19" s="1"/>
  <c r="Q83" i="18"/>
  <c r="P85" i="17"/>
  <c r="P95" i="18"/>
  <c r="Q67" i="18"/>
  <c r="P69" i="17"/>
  <c r="Q71" i="19"/>
  <c r="Q88" i="18"/>
  <c r="P47" i="18"/>
  <c r="Q62" i="17"/>
  <c r="Q59" i="19"/>
  <c r="P64" i="18"/>
  <c r="P52" i="18"/>
  <c r="Q59" i="17"/>
  <c r="P89" i="14"/>
  <c r="P68" i="14"/>
  <c r="P45" i="14"/>
  <c r="Q68" i="21"/>
  <c r="P69" i="15"/>
  <c r="P43" i="15"/>
  <c r="P70" i="13"/>
  <c r="L70" i="13" s="1"/>
  <c r="Q64" i="14"/>
  <c r="P74" i="21"/>
  <c r="Q83" i="16"/>
  <c r="P54" i="16"/>
  <c r="P83" i="16"/>
  <c r="P93" i="14"/>
  <c r="P64" i="14"/>
  <c r="Q88" i="16"/>
  <c r="P46" i="16"/>
  <c r="Q88" i="21"/>
  <c r="P82" i="16"/>
  <c r="Q53" i="16"/>
  <c r="P82" i="21"/>
  <c r="Q78" i="16"/>
  <c r="P90" i="1"/>
  <c r="Q115" i="1"/>
  <c r="P115" i="1"/>
  <c r="L115" i="1" s="1"/>
  <c r="P65" i="1"/>
  <c r="L65" i="1" s="1"/>
  <c r="P112" i="1"/>
  <c r="L112" i="1" s="1"/>
  <c r="Q75" i="1"/>
  <c r="Q101" i="1"/>
  <c r="Q91" i="1"/>
  <c r="Q100" i="1"/>
  <c r="Q61" i="1"/>
  <c r="P91" i="1"/>
  <c r="L91" i="1" s="1"/>
  <c r="P97" i="1"/>
  <c r="L97" i="1" s="1"/>
  <c r="P62" i="1"/>
  <c r="L62" i="1" s="1"/>
  <c r="P40" i="1"/>
  <c r="P47" i="1"/>
  <c r="L47" i="1" s="1"/>
  <c r="P38" i="20"/>
  <c r="P36" i="20"/>
  <c r="P45" i="20"/>
  <c r="P53" i="20"/>
  <c r="Q83" i="17"/>
  <c r="P48" i="17"/>
  <c r="P36" i="19"/>
  <c r="L36" i="19" s="1"/>
  <c r="P35" i="19"/>
  <c r="L35" i="19" s="1"/>
  <c r="Q79" i="17"/>
  <c r="P47" i="17"/>
  <c r="P59" i="18"/>
  <c r="Q66" i="17"/>
  <c r="Q51" i="19"/>
  <c r="Q45" i="19"/>
  <c r="Q57" i="18"/>
  <c r="P71" i="17"/>
  <c r="Q84" i="18"/>
  <c r="Q70" i="17"/>
  <c r="P67" i="19"/>
  <c r="L67" i="19" s="1"/>
  <c r="P54" i="19"/>
  <c r="L54" i="19" s="1"/>
  <c r="Q47" i="17"/>
  <c r="P48" i="18"/>
  <c r="P76" i="17"/>
  <c r="Q90" i="17"/>
  <c r="P37" i="19"/>
  <c r="L37" i="19" s="1"/>
  <c r="P55" i="18"/>
  <c r="Q81" i="18"/>
  <c r="P52" i="17"/>
  <c r="P78" i="17"/>
  <c r="P84" i="16"/>
  <c r="Q54" i="16"/>
  <c r="P74" i="14"/>
  <c r="Q62" i="21"/>
  <c r="P63" i="15"/>
  <c r="Q82" i="14"/>
  <c r="Q95" i="16"/>
  <c r="P82" i="14"/>
  <c r="P65" i="16"/>
  <c r="Q63" i="14"/>
  <c r="P88" i="16"/>
  <c r="Q58" i="16"/>
  <c r="P64" i="16"/>
  <c r="Q78" i="21"/>
  <c r="Q54" i="15"/>
  <c r="P78" i="16"/>
  <c r="Q65" i="21"/>
  <c r="P72" i="15"/>
  <c r="P46" i="15"/>
  <c r="Q73" i="13"/>
  <c r="P65" i="21"/>
  <c r="Q92" i="16"/>
  <c r="P50" i="16"/>
  <c r="Q86" i="21"/>
  <c r="Q89" i="13"/>
  <c r="P77" i="16"/>
  <c r="Q43" i="16"/>
  <c r="Q72" i="16"/>
  <c r="Q54" i="14"/>
  <c r="P64" i="21"/>
  <c r="P93" i="15"/>
  <c r="L93" i="15" s="1"/>
  <c r="Q64" i="15"/>
  <c r="Q78" i="13"/>
  <c r="P84" i="14"/>
  <c r="P85" i="21"/>
  <c r="Q77" i="13"/>
  <c r="Q96" i="15"/>
  <c r="Q96" i="16"/>
  <c r="P35" i="13"/>
  <c r="L35" i="13" s="1"/>
  <c r="Q106" i="1"/>
  <c r="Q105" i="1"/>
  <c r="Q81" i="1"/>
  <c r="Q108" i="1"/>
  <c r="Q62" i="1"/>
  <c r="Q79" i="1"/>
  <c r="Q89" i="1"/>
  <c r="P89" i="1"/>
  <c r="L89" i="1" s="1"/>
  <c r="Q43" i="1"/>
  <c r="Q41" i="1"/>
  <c r="P41" i="1"/>
  <c r="L41" i="1" s="1"/>
  <c r="P56" i="20"/>
  <c r="P57" i="20"/>
  <c r="P47" i="19"/>
  <c r="L47" i="19" s="1"/>
  <c r="P73" i="18"/>
  <c r="Q80" i="17"/>
  <c r="P71" i="18"/>
  <c r="P72" i="18"/>
  <c r="Q73" i="17"/>
  <c r="Q57" i="19"/>
  <c r="P46" i="19"/>
  <c r="L46" i="19" s="1"/>
  <c r="Q41" i="19"/>
  <c r="P85" i="18"/>
  <c r="Q49" i="18"/>
  <c r="Q78" i="18"/>
  <c r="Q34" i="17"/>
  <c r="Q58" i="17"/>
  <c r="Q48" i="17"/>
  <c r="P61" i="19"/>
  <c r="L61" i="19" s="1"/>
  <c r="P75" i="18"/>
  <c r="Q91" i="17"/>
  <c r="Q68" i="17"/>
  <c r="Q60" i="17"/>
  <c r="P60" i="19"/>
  <c r="L60" i="19" s="1"/>
  <c r="Q74" i="18"/>
  <c r="P42" i="18"/>
  <c r="Q84" i="17"/>
  <c r="P49" i="17"/>
  <c r="Q94" i="18"/>
  <c r="P66" i="18"/>
  <c r="P48" i="19"/>
  <c r="L48" i="19" s="1"/>
  <c r="Q61" i="17"/>
  <c r="P58" i="18"/>
  <c r="Q47" i="16"/>
  <c r="Q56" i="21"/>
  <c r="Q93" i="13"/>
  <c r="Q89" i="21"/>
  <c r="P91" i="15"/>
  <c r="Q89" i="16"/>
  <c r="P76" i="16"/>
  <c r="P52" i="14"/>
  <c r="Q57" i="14"/>
  <c r="P87" i="14"/>
  <c r="P57" i="14"/>
  <c r="Q71" i="14"/>
  <c r="P72" i="21"/>
  <c r="P49" i="21"/>
  <c r="P83" i="15"/>
  <c r="Q46" i="15"/>
  <c r="P86" i="14"/>
  <c r="P62" i="14"/>
  <c r="P87" i="21"/>
  <c r="Q59" i="21"/>
  <c r="Q91" i="14"/>
  <c r="Q86" i="16"/>
  <c r="Q77" i="21"/>
  <c r="Q77" i="15"/>
  <c r="P91" i="14"/>
  <c r="P70" i="14"/>
  <c r="P47" i="14"/>
  <c r="P68" i="16"/>
  <c r="P43" i="16"/>
  <c r="Q46" i="14"/>
  <c r="Q58" i="15"/>
  <c r="P72" i="16"/>
  <c r="P54" i="14"/>
  <c r="P70" i="21"/>
  <c r="Q63" i="15"/>
  <c r="P60" i="13"/>
  <c r="L60" i="13" s="1"/>
  <c r="P67" i="16"/>
  <c r="Q65" i="1"/>
  <c r="Q107" i="1"/>
  <c r="Q52" i="1"/>
  <c r="Q112" i="1"/>
  <c r="Q64" i="1"/>
  <c r="Q78" i="1"/>
  <c r="P73" i="1"/>
  <c r="P81" i="1"/>
  <c r="L81" i="1" s="1"/>
  <c r="Q44" i="1"/>
  <c r="P45" i="1"/>
  <c r="L45" i="1" s="1"/>
  <c r="P52" i="20"/>
  <c r="Q54" i="18"/>
  <c r="Q74" i="19"/>
  <c r="P87" i="18"/>
  <c r="Q53" i="18"/>
  <c r="P55" i="17"/>
  <c r="P50" i="19"/>
  <c r="L50" i="19" s="1"/>
  <c r="P68" i="19"/>
  <c r="L68" i="19" s="1"/>
  <c r="P41" i="19"/>
  <c r="L41" i="19" s="1"/>
  <c r="Q63" i="18"/>
  <c r="P65" i="17"/>
  <c r="P39" i="19"/>
  <c r="L39" i="19" s="1"/>
  <c r="Q62" i="18"/>
  <c r="P58" i="17"/>
  <c r="P91" i="17"/>
  <c r="Q47" i="18"/>
  <c r="P67" i="18"/>
  <c r="P80" i="18"/>
  <c r="P87" i="17"/>
  <c r="Q51" i="17"/>
  <c r="Q91" i="15"/>
  <c r="Q44" i="14"/>
  <c r="P56" i="21"/>
  <c r="Q76" i="16"/>
  <c r="P47" i="16"/>
  <c r="Q70" i="16"/>
  <c r="P73" i="14"/>
  <c r="Q82" i="16"/>
  <c r="Q81" i="14"/>
  <c r="P81" i="14"/>
  <c r="Q87" i="16"/>
  <c r="Q86" i="14"/>
  <c r="P43" i="21"/>
  <c r="P81" i="16"/>
  <c r="Q50" i="16"/>
  <c r="Q88" i="15"/>
  <c r="P63" i="16"/>
  <c r="Q73" i="16"/>
  <c r="Q76" i="14"/>
  <c r="P85" i="14"/>
  <c r="Q91" i="16"/>
  <c r="P49" i="16"/>
  <c r="Q91" i="21"/>
  <c r="P81" i="15"/>
  <c r="Q88" i="13"/>
  <c r="P79" i="16"/>
  <c r="Q47" i="21"/>
  <c r="Q84" i="16"/>
  <c r="Q73" i="15"/>
  <c r="Q68" i="13"/>
  <c r="P81" i="13"/>
  <c r="L81" i="13" s="1"/>
  <c r="P86" i="21"/>
  <c r="Q91" i="13"/>
  <c r="P69" i="14"/>
  <c r="Q69" i="15"/>
  <c r="P89" i="21"/>
  <c r="Q75" i="13"/>
  <c r="Q93" i="15"/>
  <c r="Q63" i="21"/>
  <c r="P72" i="13"/>
  <c r="L72" i="13" s="1"/>
  <c r="P63" i="13"/>
  <c r="L63" i="13" s="1"/>
  <c r="Q67" i="15"/>
  <c r="Q94" i="14"/>
  <c r="P67" i="15"/>
  <c r="Q71" i="13"/>
  <c r="P61" i="21"/>
  <c r="Q75" i="15"/>
  <c r="P78" i="13"/>
  <c r="L78" i="13" s="1"/>
  <c r="Q32" i="16"/>
  <c r="Q85" i="1"/>
  <c r="Q83" i="1"/>
  <c r="Q80" i="1"/>
  <c r="P108" i="1"/>
  <c r="L108" i="1" s="1"/>
  <c r="P59" i="1"/>
  <c r="Q57" i="1"/>
  <c r="P70" i="1"/>
  <c r="L70" i="1" s="1"/>
  <c r="Q40" i="1"/>
  <c r="P49" i="1"/>
  <c r="L49" i="1" s="1"/>
  <c r="Q40" i="20"/>
  <c r="Q49" i="20"/>
  <c r="Q54" i="20"/>
  <c r="P33" i="20"/>
  <c r="P94" i="18"/>
  <c r="Q60" i="18"/>
  <c r="Q69" i="19"/>
  <c r="P81" i="18"/>
  <c r="Q88" i="17"/>
  <c r="Q80" i="18"/>
  <c r="P94" i="17"/>
  <c r="Q52" i="17"/>
  <c r="Q56" i="19"/>
  <c r="Q67" i="19"/>
  <c r="P57" i="18"/>
  <c r="P77" i="17"/>
  <c r="Q49" i="19"/>
  <c r="P97" i="17"/>
  <c r="Q56" i="17"/>
  <c r="Q87" i="17"/>
  <c r="Q48" i="19"/>
  <c r="Q63" i="17"/>
  <c r="P57" i="17"/>
  <c r="Q82" i="18"/>
  <c r="P84" i="17"/>
  <c r="P79" i="17"/>
  <c r="P52" i="19"/>
  <c r="L52" i="19" s="1"/>
  <c r="P96" i="16"/>
  <c r="Q60" i="16"/>
  <c r="Q95" i="21"/>
  <c r="P75" i="15"/>
  <c r="Q93" i="14"/>
  <c r="P79" i="15"/>
  <c r="Q75" i="16"/>
  <c r="Q82" i="21"/>
  <c r="P63" i="14"/>
  <c r="Q87" i="21"/>
  <c r="P78" i="15"/>
  <c r="P81" i="21"/>
  <c r="Q67" i="14"/>
  <c r="P53" i="21"/>
  <c r="P88" i="15"/>
  <c r="Q59" i="15"/>
  <c r="Q56" i="16"/>
  <c r="P41" i="14"/>
  <c r="Q85" i="21"/>
  <c r="P47" i="21"/>
  <c r="Q76" i="15"/>
  <c r="P71" i="13"/>
  <c r="L71" i="13" s="1"/>
  <c r="Q55" i="16"/>
  <c r="P66" i="14"/>
  <c r="P91" i="21"/>
  <c r="P92" i="21"/>
  <c r="P51" i="15"/>
  <c r="P62" i="13"/>
  <c r="L62" i="13" s="1"/>
  <c r="P70" i="15"/>
  <c r="Q32" i="21"/>
  <c r="P77" i="13"/>
  <c r="L77" i="13" s="1"/>
  <c r="P76" i="13"/>
  <c r="L76" i="13" s="1"/>
  <c r="Q55" i="21"/>
  <c r="Q90" i="13"/>
  <c r="Q66" i="21"/>
  <c r="P71" i="15"/>
  <c r="Q47" i="15"/>
  <c r="Q81" i="15"/>
  <c r="P68" i="15"/>
  <c r="Q57" i="13"/>
  <c r="P63" i="21"/>
  <c r="Q50" i="13"/>
  <c r="P77" i="15"/>
  <c r="P80" i="13"/>
  <c r="L80" i="13" s="1"/>
  <c r="P57" i="13"/>
  <c r="Q62" i="13"/>
  <c r="P61" i="1"/>
  <c r="L61" i="1" s="1"/>
  <c r="Q71" i="1"/>
  <c r="P87" i="1"/>
  <c r="L87" i="1" s="1"/>
  <c r="P55" i="20"/>
  <c r="Q95" i="17"/>
  <c r="Q78" i="17"/>
  <c r="P88" i="17"/>
  <c r="P74" i="19"/>
  <c r="L74" i="19" s="1"/>
  <c r="P98" i="17"/>
  <c r="P49" i="18"/>
  <c r="Q50" i="17"/>
  <c r="P72" i="19"/>
  <c r="L72" i="19" s="1"/>
  <c r="Q85" i="17"/>
  <c r="Q95" i="18"/>
  <c r="Q49" i="17"/>
  <c r="Q37" i="19"/>
  <c r="P66" i="17"/>
  <c r="P62" i="21"/>
  <c r="Q59" i="16"/>
  <c r="P59" i="16"/>
  <c r="Q72" i="15"/>
  <c r="P78" i="21"/>
  <c r="Q92" i="21"/>
  <c r="P82" i="15"/>
  <c r="P33" i="21"/>
  <c r="P90" i="14"/>
  <c r="Q47" i="13"/>
  <c r="Q60" i="13"/>
  <c r="P55" i="21"/>
  <c r="Q45" i="14"/>
  <c r="P58" i="15"/>
  <c r="P49" i="13"/>
  <c r="L49" i="13" s="1"/>
  <c r="Q72" i="13"/>
  <c r="P73" i="13"/>
  <c r="L73" i="13" s="1"/>
  <c r="Q77" i="1"/>
  <c r="Q74" i="17"/>
  <c r="P51" i="19"/>
  <c r="L51" i="19" s="1"/>
  <c r="P65" i="18"/>
  <c r="P77" i="18"/>
  <c r="P70" i="19"/>
  <c r="L70" i="19" s="1"/>
  <c r="P65" i="19"/>
  <c r="L65" i="19" s="1"/>
  <c r="P60" i="18"/>
  <c r="P95" i="16"/>
  <c r="Q93" i="16"/>
  <c r="P95" i="15"/>
  <c r="P48" i="14"/>
  <c r="P61" i="13"/>
  <c r="L61" i="13" s="1"/>
  <c r="Q79" i="14"/>
  <c r="Q79" i="16"/>
  <c r="P79" i="21"/>
  <c r="Q83" i="14"/>
  <c r="P51" i="13"/>
  <c r="L51" i="13" s="1"/>
  <c r="P67" i="13"/>
  <c r="L67" i="13" s="1"/>
  <c r="P44" i="13"/>
  <c r="L44" i="13" s="1"/>
  <c r="P56" i="15"/>
  <c r="P94" i="13"/>
  <c r="L94" i="13" s="1"/>
  <c r="P66" i="13"/>
  <c r="L66" i="13" s="1"/>
  <c r="Q76" i="1"/>
  <c r="Q84" i="1"/>
  <c r="Q99" i="1"/>
  <c r="P74" i="1"/>
  <c r="L74" i="1" s="1"/>
  <c r="P72" i="1"/>
  <c r="Q48" i="1"/>
  <c r="P84" i="1"/>
  <c r="L84" i="1" s="1"/>
  <c r="P43" i="1"/>
  <c r="L43" i="1" s="1"/>
  <c r="Q57" i="20"/>
  <c r="Q36" i="20"/>
  <c r="P54" i="20"/>
  <c r="Q46" i="18"/>
  <c r="Q63" i="19"/>
  <c r="P67" i="17"/>
  <c r="Q77" i="18"/>
  <c r="Q76" i="18"/>
  <c r="Q35" i="19"/>
  <c r="P45" i="19"/>
  <c r="L45" i="19" s="1"/>
  <c r="P34" i="17"/>
  <c r="P69" i="18"/>
  <c r="Q39" i="19"/>
  <c r="Q72" i="18"/>
  <c r="P60" i="17"/>
  <c r="P38" i="19"/>
  <c r="L38" i="19" s="1"/>
  <c r="Q57" i="17"/>
  <c r="Q61" i="18"/>
  <c r="Q73" i="18"/>
  <c r="P94" i="14"/>
  <c r="P65" i="14"/>
  <c r="P84" i="21"/>
  <c r="Q99" i="13"/>
  <c r="Q73" i="14"/>
  <c r="P68" i="21"/>
  <c r="Q65" i="16"/>
  <c r="P75" i="16"/>
  <c r="P53" i="16"/>
  <c r="Q81" i="21"/>
  <c r="P56" i="14"/>
  <c r="Q78" i="15"/>
  <c r="Q67" i="13"/>
  <c r="Q61" i="14"/>
  <c r="Q51" i="15"/>
  <c r="P86" i="16"/>
  <c r="Q49" i="16"/>
  <c r="P67" i="14"/>
  <c r="Q79" i="21"/>
  <c r="Q70" i="15"/>
  <c r="P91" i="16"/>
  <c r="Q48" i="16"/>
  <c r="P52" i="13"/>
  <c r="L52" i="13" s="1"/>
  <c r="Q86" i="15"/>
  <c r="P68" i="13"/>
  <c r="L68" i="13" s="1"/>
  <c r="Q84" i="15"/>
  <c r="Q84" i="21"/>
  <c r="Q54" i="21"/>
  <c r="Q77" i="14"/>
  <c r="P86" i="15"/>
  <c r="Q68" i="15"/>
  <c r="P76" i="15"/>
  <c r="Q48" i="13"/>
  <c r="P55" i="15"/>
  <c r="P89" i="13"/>
  <c r="L89" i="13" s="1"/>
  <c r="P97" i="13"/>
  <c r="L97" i="13" s="1"/>
  <c r="Q86" i="13"/>
  <c r="P76" i="1"/>
  <c r="L76" i="1" s="1"/>
  <c r="P111" i="1"/>
  <c r="L111" i="1" s="1"/>
  <c r="P116" i="1"/>
  <c r="L116" i="1" s="1"/>
  <c r="P86" i="1"/>
  <c r="L86" i="1" s="1"/>
  <c r="P39" i="1"/>
  <c r="L39" i="1" s="1"/>
  <c r="P38" i="1"/>
  <c r="L38" i="1" s="1"/>
  <c r="P42" i="20"/>
  <c r="P71" i="19"/>
  <c r="L71" i="19" s="1"/>
  <c r="P88" i="18"/>
  <c r="Q71" i="18"/>
  <c r="P69" i="19"/>
  <c r="L69" i="19" s="1"/>
  <c r="P91" i="18"/>
  <c r="P51" i="17"/>
  <c r="P78" i="18"/>
  <c r="P54" i="18"/>
  <c r="P72" i="17"/>
  <c r="Q55" i="18"/>
  <c r="P81" i="17"/>
  <c r="Q68" i="14"/>
  <c r="P58" i="14"/>
  <c r="Q72" i="21"/>
  <c r="P80" i="14"/>
  <c r="Q33" i="15"/>
  <c r="P48" i="21"/>
  <c r="P33" i="15"/>
  <c r="Q85" i="16"/>
  <c r="Q50" i="15"/>
  <c r="P60" i="14"/>
  <c r="P32" i="15"/>
  <c r="Q61" i="13"/>
  <c r="Q43" i="21"/>
  <c r="P65" i="15"/>
  <c r="Q71" i="16"/>
  <c r="Q63" i="13"/>
  <c r="P88" i="1"/>
  <c r="Q97" i="1"/>
  <c r="Q103" i="1"/>
  <c r="Q69" i="1"/>
  <c r="Q94" i="1"/>
  <c r="P96" i="1"/>
  <c r="L96" i="1" s="1"/>
  <c r="Q60" i="1"/>
  <c r="P46" i="18"/>
  <c r="P61" i="17"/>
  <c r="P62" i="19"/>
  <c r="L62" i="19" s="1"/>
  <c r="Q44" i="17"/>
  <c r="P89" i="17"/>
  <c r="P68" i="18"/>
  <c r="P61" i="18"/>
  <c r="Q52" i="18"/>
  <c r="P59" i="14"/>
  <c r="P87" i="13"/>
  <c r="L87" i="13" s="1"/>
  <c r="P70" i="16"/>
  <c r="P51" i="14"/>
  <c r="P66" i="21"/>
  <c r="Q66" i="15"/>
  <c r="Q90" i="14"/>
  <c r="P85" i="16"/>
  <c r="Q67" i="21"/>
  <c r="P50" i="15"/>
  <c r="Q48" i="15"/>
  <c r="Q95" i="15"/>
  <c r="P48" i="15"/>
  <c r="P48" i="16"/>
  <c r="P77" i="21"/>
  <c r="P49" i="20"/>
  <c r="Q74" i="15"/>
  <c r="P73" i="21"/>
  <c r="Q85" i="14"/>
  <c r="P76" i="21"/>
  <c r="Q62" i="15"/>
  <c r="Q61" i="15"/>
  <c r="Q57" i="15"/>
  <c r="P92" i="15"/>
  <c r="P56" i="13"/>
  <c r="P43" i="20"/>
  <c r="Q70" i="18"/>
  <c r="Q76" i="17"/>
  <c r="P83" i="14"/>
  <c r="Q58" i="14"/>
  <c r="Q46" i="16"/>
  <c r="Q64" i="16"/>
  <c r="Q80" i="14"/>
  <c r="P74" i="16"/>
  <c r="P66" i="15"/>
  <c r="P71" i="21"/>
  <c r="P61" i="14"/>
  <c r="Q32" i="15"/>
  <c r="Q58" i="21"/>
  <c r="P73" i="15"/>
  <c r="P98" i="13"/>
  <c r="L98" i="13" s="1"/>
  <c r="Q55" i="15"/>
  <c r="P47" i="13"/>
  <c r="L47" i="13" s="1"/>
  <c r="Q40" i="13"/>
  <c r="P39" i="16"/>
  <c r="Q82" i="17"/>
  <c r="P47" i="15"/>
  <c r="P59" i="13"/>
  <c r="L59" i="13" s="1"/>
  <c r="Q34" i="13"/>
  <c r="P46" i="14"/>
  <c r="Q77" i="16"/>
  <c r="Q74" i="21"/>
  <c r="Q69" i="17"/>
  <c r="Q73" i="19"/>
  <c r="Q94" i="17"/>
  <c r="P82" i="1"/>
  <c r="L82" i="1" s="1"/>
  <c r="P37" i="1"/>
  <c r="L37" i="1" s="1"/>
  <c r="P95" i="1"/>
  <c r="Q39" i="21"/>
  <c r="P82" i="13"/>
  <c r="L82" i="13" s="1"/>
  <c r="Q45" i="21"/>
  <c r="Q84" i="13"/>
  <c r="Q65" i="13"/>
  <c r="P61" i="16"/>
  <c r="P34" i="13"/>
  <c r="L34" i="13" s="1"/>
  <c r="Q89" i="14"/>
  <c r="P58" i="21"/>
  <c r="P48" i="13"/>
  <c r="L48" i="13" s="1"/>
  <c r="P60" i="21"/>
  <c r="P44" i="14"/>
  <c r="Q75" i="17"/>
  <c r="Q42" i="18"/>
  <c r="Q90" i="18"/>
  <c r="Q72" i="17"/>
  <c r="P67" i="1"/>
  <c r="L67" i="1" s="1"/>
  <c r="Q56" i="1"/>
  <c r="Q96" i="1"/>
  <c r="Q95" i="1"/>
  <c r="D37" i="13"/>
  <c r="R35" i="18"/>
  <c r="Q35" i="18" s="1"/>
  <c r="P42" i="17"/>
  <c r="P39" i="17"/>
  <c r="Q59" i="13"/>
  <c r="Q70" i="13"/>
  <c r="P58" i="13"/>
  <c r="Q58" i="13"/>
  <c r="Q56" i="15"/>
  <c r="P99" i="13"/>
  <c r="L99" i="13" s="1"/>
  <c r="Q46" i="21"/>
  <c r="Q75" i="21"/>
  <c r="Q67" i="16"/>
  <c r="P79" i="14"/>
  <c r="Q71" i="15"/>
  <c r="Q55" i="14"/>
  <c r="P55" i="13"/>
  <c r="L55" i="13" s="1"/>
  <c r="Q48" i="21"/>
  <c r="P89" i="15"/>
  <c r="P58" i="16"/>
  <c r="Q72" i="14"/>
  <c r="P60" i="16"/>
  <c r="P64" i="13"/>
  <c r="L64" i="13" s="1"/>
  <c r="P57" i="15"/>
  <c r="P83" i="17"/>
  <c r="Q81" i="17"/>
  <c r="Q67" i="17"/>
  <c r="Q48" i="18"/>
  <c r="Q50" i="19"/>
  <c r="Q93" i="17"/>
  <c r="Q65" i="18"/>
  <c r="P68" i="17"/>
  <c r="R36" i="15"/>
  <c r="P36" i="15" s="1"/>
  <c r="P68" i="1"/>
  <c r="L68" i="1" s="1"/>
  <c r="Q47" i="20"/>
  <c r="P40" i="20"/>
  <c r="P69" i="1"/>
  <c r="L69" i="1" s="1"/>
  <c r="P100" i="1"/>
  <c r="L100" i="1" s="1"/>
  <c r="P78" i="1"/>
  <c r="L78" i="1" s="1"/>
  <c r="Q116" i="1"/>
  <c r="P44" i="18"/>
  <c r="Q92" i="13"/>
  <c r="Q44" i="15"/>
  <c r="Q45" i="13"/>
  <c r="P38" i="14"/>
  <c r="Q32" i="14"/>
  <c r="Q38" i="18"/>
  <c r="P85" i="13"/>
  <c r="L85" i="13" s="1"/>
  <c r="P88" i="13"/>
  <c r="L88" i="13" s="1"/>
  <c r="P32" i="21"/>
  <c r="P46" i="21"/>
  <c r="P61" i="15"/>
  <c r="Q100" i="13"/>
  <c r="Q52" i="13"/>
  <c r="Q57" i="21"/>
  <c r="P67" i="21"/>
  <c r="P74" i="15"/>
  <c r="Q70" i="21"/>
  <c r="P55" i="14"/>
  <c r="Q53" i="21"/>
  <c r="P87" i="16"/>
  <c r="Q87" i="14"/>
  <c r="P77" i="14"/>
  <c r="P59" i="19"/>
  <c r="L59" i="19" s="1"/>
  <c r="P74" i="18"/>
  <c r="Q68" i="18"/>
  <c r="Q60" i="19"/>
  <c r="P86" i="17"/>
  <c r="P70" i="18"/>
  <c r="Q58" i="18"/>
  <c r="Q92" i="18"/>
  <c r="P74" i="17"/>
  <c r="Q66" i="18"/>
  <c r="P58" i="19"/>
  <c r="L58" i="19" s="1"/>
  <c r="P58" i="20"/>
  <c r="P106" i="1"/>
  <c r="L106" i="1" s="1"/>
  <c r="Q59" i="1"/>
  <c r="P79" i="1"/>
  <c r="L79" i="1" s="1"/>
  <c r="Q87" i="1"/>
  <c r="Q72" i="1"/>
  <c r="Q35" i="14"/>
  <c r="P96" i="21"/>
  <c r="P91" i="13"/>
  <c r="L91" i="13" s="1"/>
  <c r="P76" i="14"/>
  <c r="P90" i="13"/>
  <c r="L90" i="13" s="1"/>
  <c r="P49" i="15"/>
  <c r="P90" i="18"/>
  <c r="P45" i="18"/>
  <c r="P46" i="1"/>
  <c r="L46" i="1" s="1"/>
  <c r="Q82" i="1"/>
  <c r="P32" i="16"/>
  <c r="P46" i="17"/>
  <c r="Q33" i="13"/>
  <c r="Q33" i="18"/>
  <c r="P100" i="13"/>
  <c r="L100" i="13" s="1"/>
  <c r="Q95" i="13"/>
  <c r="Q65" i="15"/>
  <c r="P93" i="21"/>
  <c r="Q56" i="13"/>
  <c r="Q91" i="18"/>
  <c r="Q85" i="18"/>
  <c r="Q41" i="21"/>
  <c r="Q38" i="16"/>
  <c r="P36" i="18"/>
  <c r="Q44" i="13"/>
  <c r="P95" i="13"/>
  <c r="L95" i="13" s="1"/>
  <c r="Q50" i="21"/>
  <c r="Q64" i="13"/>
  <c r="P50" i="21"/>
  <c r="Q64" i="21"/>
  <c r="P59" i="15"/>
  <c r="Q69" i="21"/>
  <c r="P69" i="13"/>
  <c r="L69" i="13" s="1"/>
  <c r="Q87" i="15"/>
  <c r="Q69" i="14"/>
  <c r="P87" i="15"/>
  <c r="P56" i="16"/>
  <c r="P92" i="16"/>
  <c r="P59" i="21"/>
  <c r="P54" i="15"/>
  <c r="Q71" i="21"/>
  <c r="Q57" i="16"/>
  <c r="Q93" i="21"/>
  <c r="Q74" i="16"/>
  <c r="P66" i="16"/>
  <c r="Q76" i="13"/>
  <c r="Q98" i="17"/>
  <c r="P95" i="17"/>
  <c r="P90" i="17"/>
  <c r="P53" i="19"/>
  <c r="L53" i="19" s="1"/>
  <c r="P44" i="17"/>
  <c r="Q68" i="19"/>
  <c r="Q52" i="19"/>
  <c r="Q64" i="19"/>
  <c r="Q43" i="20"/>
  <c r="P47" i="20"/>
  <c r="Q45" i="20"/>
  <c r="Q52" i="20"/>
  <c r="P56" i="1"/>
  <c r="L56" i="1" s="1"/>
  <c r="Q74" i="1"/>
  <c r="P107" i="1"/>
  <c r="L107" i="1" s="1"/>
  <c r="P77" i="1"/>
  <c r="D35" i="21"/>
  <c r="R36" i="13"/>
  <c r="Q36" i="13" s="1"/>
  <c r="Q38" i="13"/>
  <c r="Q87" i="13"/>
  <c r="P75" i="13"/>
  <c r="L75" i="13" s="1"/>
  <c r="Q51" i="13"/>
  <c r="Q84" i="14"/>
  <c r="P73" i="16"/>
  <c r="Q52" i="14"/>
  <c r="P71" i="16"/>
  <c r="Q47" i="19"/>
  <c r="Q64" i="18"/>
  <c r="Q86" i="17"/>
  <c r="P45" i="22"/>
  <c r="P55" i="1"/>
  <c r="L55" i="1" s="1"/>
  <c r="Q46" i="13"/>
  <c r="Q37" i="16"/>
  <c r="Q40" i="17"/>
  <c r="Q98" i="13"/>
  <c r="Q49" i="13"/>
  <c r="P65" i="13"/>
  <c r="L65" i="13" s="1"/>
  <c r="P96" i="15"/>
  <c r="Q61" i="16"/>
  <c r="Q47" i="14"/>
  <c r="Q82" i="15"/>
  <c r="P88" i="21"/>
  <c r="Q51" i="14"/>
  <c r="Q54" i="19"/>
  <c r="P62" i="18"/>
  <c r="P49" i="19"/>
  <c r="Q45" i="18"/>
  <c r="P73" i="17"/>
  <c r="Q36" i="19"/>
  <c r="P48" i="1"/>
  <c r="L48" i="1" s="1"/>
  <c r="Q88" i="1"/>
  <c r="Q90" i="1"/>
  <c r="P45" i="15"/>
  <c r="R35" i="15"/>
  <c r="Q35" i="15" s="1"/>
  <c r="P40" i="21"/>
  <c r="P39" i="13"/>
  <c r="P39" i="15"/>
  <c r="P45" i="17"/>
  <c r="Q66" i="13"/>
  <c r="P64" i="15"/>
  <c r="P86" i="13"/>
  <c r="L86" i="13" s="1"/>
  <c r="D33" i="14"/>
  <c r="P90" i="15"/>
  <c r="P41" i="21"/>
  <c r="Q39" i="16"/>
  <c r="P92" i="17"/>
  <c r="P50" i="13"/>
  <c r="L50" i="13" s="1"/>
  <c r="Q89" i="15"/>
  <c r="Q61" i="21"/>
  <c r="Q49" i="21"/>
  <c r="Q92" i="15"/>
  <c r="Q49" i="15"/>
  <c r="P57" i="21"/>
  <c r="P84" i="15"/>
  <c r="Q74" i="14"/>
  <c r="Q53" i="14"/>
  <c r="Q33" i="21"/>
  <c r="Q60" i="14"/>
  <c r="Q62" i="16"/>
  <c r="Q79" i="13"/>
  <c r="P57" i="16"/>
  <c r="P79" i="13"/>
  <c r="L79" i="13" s="1"/>
  <c r="Q63" i="16"/>
  <c r="P93" i="16"/>
  <c r="Q48" i="14"/>
  <c r="Q81" i="16"/>
  <c r="P89" i="16"/>
  <c r="Q83" i="21"/>
  <c r="P53" i="14"/>
  <c r="Q65" i="17"/>
  <c r="P93" i="17"/>
  <c r="Q55" i="17"/>
  <c r="P50" i="17"/>
  <c r="P76" i="18"/>
  <c r="Q38" i="19"/>
  <c r="Q58" i="19"/>
  <c r="Q53" i="20"/>
  <c r="Q58" i="20"/>
  <c r="Q58" i="1"/>
  <c r="P52" i="1"/>
  <c r="L52" i="1" s="1"/>
  <c r="Q38" i="1"/>
  <c r="P92" i="1"/>
  <c r="L92" i="1" s="1"/>
  <c r="Q86" i="1"/>
  <c r="Q31" i="14"/>
  <c r="Q31" i="13"/>
  <c r="D45" i="20"/>
  <c r="R101" i="13"/>
  <c r="P101" i="13" s="1"/>
  <c r="R98" i="21"/>
  <c r="Q98" i="21" s="1"/>
  <c r="E204" i="2"/>
  <c r="D95" i="14"/>
  <c r="Q93" i="18"/>
  <c r="B198" i="23"/>
  <c r="D32" i="20"/>
  <c r="D42" i="24"/>
  <c r="D67" i="22"/>
  <c r="R86" i="22"/>
  <c r="L86" i="22" s="1"/>
  <c r="D95" i="1"/>
  <c r="R36" i="17"/>
  <c r="P36" i="17" s="1"/>
  <c r="N34" i="19"/>
  <c r="D53" i="24"/>
  <c r="R98" i="16"/>
  <c r="P98" i="16" s="1"/>
  <c r="R97" i="18"/>
  <c r="P97" i="18" s="1"/>
  <c r="R35" i="21"/>
  <c r="Q35" i="21" s="1"/>
  <c r="R34" i="18"/>
  <c r="P34" i="18" s="1"/>
  <c r="D34" i="18"/>
  <c r="R95" i="14"/>
  <c r="P95" i="14" s="1"/>
  <c r="D35" i="15"/>
  <c r="R39" i="19"/>
  <c r="Q104" i="1"/>
  <c r="D42" i="20"/>
  <c r="P48" i="22"/>
  <c r="L48" i="22" s="1"/>
  <c r="D38" i="21"/>
  <c r="P94" i="21"/>
  <c r="Q94" i="16"/>
  <c r="D36" i="17"/>
  <c r="D35" i="16"/>
  <c r="R102" i="13"/>
  <c r="Q102" i="13" s="1"/>
  <c r="D53" i="20"/>
  <c r="D97" i="16"/>
  <c r="D94" i="1"/>
  <c r="P94" i="16"/>
  <c r="R87" i="22"/>
  <c r="P87" i="22" s="1"/>
  <c r="DP93" i="22"/>
  <c r="P44" i="1"/>
  <c r="L44" i="1" s="1"/>
  <c r="P58" i="1"/>
  <c r="P60" i="1"/>
  <c r="L60" i="1" s="1"/>
  <c r="P85" i="1"/>
  <c r="L85" i="1" s="1"/>
  <c r="N33" i="19"/>
  <c r="Q75" i="19"/>
  <c r="R92" i="22"/>
  <c r="P92" i="22" s="1"/>
  <c r="N32" i="19"/>
  <c r="R98" i="15"/>
  <c r="P98" i="15" s="1"/>
  <c r="D40" i="19"/>
  <c r="R33" i="14"/>
  <c r="Q33" i="14" s="1"/>
  <c r="D75" i="1"/>
  <c r="R94" i="22"/>
  <c r="P94" i="22" s="1"/>
  <c r="R97" i="21"/>
  <c r="P97" i="21" s="1"/>
  <c r="R100" i="17"/>
  <c r="P100" i="17" s="1"/>
  <c r="R35" i="16"/>
  <c r="P35" i="16" s="1"/>
  <c r="R40" i="19"/>
  <c r="Q40" i="19" s="1"/>
  <c r="R97" i="15"/>
  <c r="Q97" i="15" s="1"/>
  <c r="D32" i="24"/>
  <c r="P45" i="24"/>
  <c r="P67" i="22"/>
  <c r="P96" i="17"/>
  <c r="D96" i="14"/>
  <c r="D97" i="18"/>
  <c r="D100" i="17"/>
  <c r="D98" i="15"/>
  <c r="D102" i="13"/>
  <c r="D98" i="16"/>
  <c r="D98" i="21"/>
  <c r="D103" i="1"/>
  <c r="D36" i="21"/>
  <c r="D72" i="1"/>
  <c r="D101" i="13"/>
  <c r="Q42" i="1"/>
  <c r="R101" i="1"/>
  <c r="D101" i="1"/>
  <c r="D97" i="21"/>
  <c r="P42" i="1"/>
  <c r="L42" i="1" s="1"/>
  <c r="D34" i="14"/>
  <c r="L94" i="1"/>
  <c r="P94" i="1"/>
  <c r="Q31" i="18"/>
  <c r="P31" i="14"/>
  <c r="Q31" i="15"/>
  <c r="P31" i="18"/>
  <c r="P31" i="17"/>
  <c r="Q32" i="18"/>
  <c r="P32" i="18"/>
  <c r="P31" i="21"/>
  <c r="Q31" i="16"/>
  <c r="P31" i="15"/>
  <c r="L31" i="15" s="1"/>
  <c r="P31" i="16"/>
  <c r="P31" i="13"/>
  <c r="D36" i="15"/>
  <c r="Q31" i="21"/>
  <c r="D35" i="18"/>
  <c r="D97" i="15"/>
  <c r="P37" i="17"/>
  <c r="R36" i="16"/>
  <c r="D52" i="20"/>
  <c r="Q37" i="21"/>
  <c r="Q80" i="15"/>
  <c r="P32" i="13"/>
  <c r="L32" i="13" s="1"/>
  <c r="P38" i="15"/>
  <c r="Q45" i="15"/>
  <c r="P34" i="21"/>
  <c r="P36" i="14"/>
  <c r="Q42" i="14"/>
  <c r="P40" i="18"/>
  <c r="Q41" i="18"/>
  <c r="Q89" i="18"/>
  <c r="Q41" i="17"/>
  <c r="P79" i="18"/>
  <c r="Q39" i="18"/>
  <c r="R37" i="13"/>
  <c r="Q53" i="1"/>
  <c r="Q68" i="1"/>
  <c r="P32" i="17"/>
  <c r="P33" i="17"/>
  <c r="P36" i="1"/>
  <c r="L36" i="1" s="1"/>
  <c r="R97" i="16"/>
  <c r="P97" i="16" s="1"/>
  <c r="P43" i="14"/>
  <c r="J75" i="22"/>
  <c r="P31" i="22"/>
  <c r="L31" i="22" s="1"/>
  <c r="L45" i="24"/>
  <c r="Q32" i="22"/>
  <c r="D52" i="24"/>
  <c r="D36" i="14"/>
  <c r="DP92" i="22"/>
  <c r="Q96" i="13"/>
  <c r="P93" i="18"/>
  <c r="J59" i="22"/>
  <c r="P55" i="22"/>
  <c r="L55" i="22" s="1"/>
  <c r="Q95" i="22"/>
  <c r="DP94" i="22"/>
  <c r="D39" i="17"/>
  <c r="EF94" i="22"/>
  <c r="D39" i="13"/>
  <c r="Q31" i="22"/>
  <c r="Q48" i="22"/>
  <c r="P95" i="22"/>
  <c r="L95" i="22" s="1"/>
  <c r="D96" i="18"/>
  <c r="P42" i="16"/>
  <c r="Q37" i="15"/>
  <c r="P88" i="14"/>
  <c r="P32" i="14"/>
  <c r="P90" i="16"/>
  <c r="P39" i="18"/>
  <c r="P32" i="20"/>
  <c r="Q67" i="1"/>
  <c r="P63" i="1"/>
  <c r="L63" i="1" s="1"/>
  <c r="R99" i="17"/>
  <c r="Q99" i="17" s="1"/>
  <c r="P54" i="1"/>
  <c r="L54" i="1" s="1"/>
  <c r="R96" i="14"/>
  <c r="Q96" i="14" s="1"/>
  <c r="R76" i="19"/>
  <c r="P76" i="19" s="1"/>
  <c r="Q47" i="22"/>
  <c r="Q59" i="22"/>
  <c r="P93" i="22"/>
  <c r="L67" i="22"/>
  <c r="Q32" i="24"/>
  <c r="D37" i="18"/>
  <c r="D37" i="17"/>
  <c r="D76" i="19"/>
  <c r="R34" i="14"/>
  <c r="R36" i="21"/>
  <c r="P34" i="15"/>
  <c r="P37" i="21"/>
  <c r="P80" i="15"/>
  <c r="Q42" i="15"/>
  <c r="P44" i="21"/>
  <c r="P92" i="13"/>
  <c r="L92" i="13" s="1"/>
  <c r="Q39" i="14"/>
  <c r="Q32" i="13"/>
  <c r="P35" i="14"/>
  <c r="P80" i="16"/>
  <c r="P44" i="16"/>
  <c r="P40" i="15"/>
  <c r="P37" i="14"/>
  <c r="Q40" i="16"/>
  <c r="Q38" i="14"/>
  <c r="Q38" i="17"/>
  <c r="P82" i="17"/>
  <c r="Q43" i="19"/>
  <c r="P40" i="17"/>
  <c r="Q36" i="18"/>
  <c r="P43" i="18"/>
  <c r="Q37" i="18"/>
  <c r="Q45" i="22"/>
  <c r="P102" i="1"/>
  <c r="L102" i="1" s="1"/>
  <c r="P51" i="1"/>
  <c r="P33" i="16"/>
  <c r="P53" i="1"/>
  <c r="L53" i="1" s="1"/>
  <c r="P46" i="13"/>
  <c r="L46" i="13" s="1"/>
  <c r="P104" i="1"/>
  <c r="L104" i="1" s="1"/>
  <c r="L32" i="24"/>
  <c r="Q93" i="22"/>
  <c r="D38" i="16"/>
  <c r="Q94" i="21"/>
  <c r="P94" i="15"/>
  <c r="L94" i="15" s="1"/>
  <c r="P41" i="13"/>
  <c r="L41" i="13" s="1"/>
  <c r="Q90" i="21"/>
  <c r="Q42" i="16"/>
  <c r="Q44" i="16"/>
  <c r="Q43" i="14"/>
  <c r="P38" i="17"/>
  <c r="Q39" i="15"/>
  <c r="Q92" i="17"/>
  <c r="D36" i="16"/>
  <c r="D99" i="17"/>
  <c r="Q41" i="13"/>
  <c r="Q43" i="13"/>
  <c r="P37" i="15"/>
  <c r="Q38" i="15"/>
  <c r="P40" i="13"/>
  <c r="L40" i="13" s="1"/>
  <c r="P43" i="13"/>
  <c r="L43" i="13" s="1"/>
  <c r="Q40" i="14"/>
  <c r="P38" i="13"/>
  <c r="L38" i="13" s="1"/>
  <c r="Q80" i="16"/>
  <c r="Q34" i="21"/>
  <c r="P38" i="21"/>
  <c r="Q88" i="14"/>
  <c r="P90" i="21"/>
  <c r="Q39" i="17"/>
  <c r="Q44" i="18"/>
  <c r="Q44" i="19"/>
  <c r="Q43" i="18"/>
  <c r="P41" i="17"/>
  <c r="P43" i="19"/>
  <c r="L43" i="19" s="1"/>
  <c r="Q102" i="1"/>
  <c r="Q33" i="17"/>
  <c r="Q33" i="16"/>
  <c r="R96" i="18"/>
  <c r="Q96" i="18" s="1"/>
  <c r="Q54" i="1"/>
  <c r="P45" i="21"/>
  <c r="J89" i="22"/>
  <c r="P47" i="22"/>
  <c r="L47" i="22" s="1"/>
  <c r="P51" i="20" l="1"/>
  <c r="L51" i="20"/>
  <c r="P51" i="24"/>
  <c r="L51" i="24"/>
  <c r="L31" i="13"/>
  <c r="J47" i="1"/>
  <c r="J46" i="1"/>
  <c r="J105" i="1"/>
  <c r="J43" i="1"/>
  <c r="J60" i="1"/>
  <c r="J108" i="1"/>
  <c r="J88" i="22"/>
  <c r="J77" i="22"/>
  <c r="E161" i="2"/>
  <c r="J74" i="22"/>
  <c r="L31" i="20"/>
  <c r="J85" i="1"/>
  <c r="J97" i="1"/>
  <c r="J87" i="1"/>
  <c r="J86" i="1"/>
  <c r="P31" i="20"/>
  <c r="E203" i="2"/>
  <c r="E160" i="2"/>
  <c r="J73" i="22"/>
  <c r="J42" i="22"/>
  <c r="J96" i="22"/>
  <c r="J53" i="22"/>
  <c r="J98" i="22"/>
  <c r="J41" i="22"/>
  <c r="J47" i="22"/>
  <c r="J81" i="1"/>
  <c r="J82" i="1"/>
  <c r="J99" i="22"/>
  <c r="E198" i="23"/>
  <c r="J48" i="22"/>
  <c r="Q32" i="19"/>
  <c r="J98" i="1"/>
  <c r="J83" i="1"/>
  <c r="P35" i="18"/>
  <c r="Q95" i="14"/>
  <c r="P34" i="19"/>
  <c r="P40" i="19"/>
  <c r="P97" i="15"/>
  <c r="P33" i="14"/>
  <c r="P35" i="21"/>
  <c r="L94" i="22"/>
  <c r="Q34" i="18"/>
  <c r="Q97" i="18"/>
  <c r="Q101" i="13"/>
  <c r="P98" i="21"/>
  <c r="Q98" i="16"/>
  <c r="Q33" i="19"/>
  <c r="Q97" i="21"/>
  <c r="P102" i="13"/>
  <c r="P103" i="1"/>
  <c r="Q36" i="15"/>
  <c r="P32" i="19"/>
  <c r="Q35" i="16"/>
  <c r="Q36" i="17"/>
  <c r="Q100" i="17"/>
  <c r="L87" i="22"/>
  <c r="P86" i="22"/>
  <c r="Q98" i="15"/>
  <c r="Q34" i="19"/>
  <c r="P33" i="19"/>
  <c r="P36" i="13"/>
  <c r="L36" i="13" s="1"/>
  <c r="P35" i="15"/>
  <c r="L92" i="22"/>
  <c r="Q37" i="13"/>
  <c r="P37" i="13"/>
  <c r="L37" i="13" s="1"/>
  <c r="P96" i="18"/>
  <c r="Q36" i="16"/>
  <c r="P36" i="16"/>
  <c r="P96" i="14"/>
  <c r="P36" i="21"/>
  <c r="Q36" i="21"/>
  <c r="P101" i="1"/>
  <c r="L101" i="1"/>
  <c r="Q76" i="19"/>
  <c r="Q97" i="16"/>
  <c r="P34" i="14"/>
  <c r="Q34" i="14"/>
  <c r="P99" i="17"/>
</calcChain>
</file>

<file path=xl/sharedStrings.xml><?xml version="1.0" encoding="utf-8"?>
<sst xmlns="http://schemas.openxmlformats.org/spreadsheetml/2006/main" count="11871" uniqueCount="7754">
  <si>
    <t>Deutsch (AT)</t>
  </si>
  <si>
    <t>DP =</t>
  </si>
  <si>
    <t>Deutsch (DE)</t>
  </si>
  <si>
    <t>R.16 =</t>
  </si>
  <si>
    <t>English</t>
  </si>
  <si>
    <t>DS =</t>
  </si>
  <si>
    <t>français</t>
  </si>
  <si>
    <t>DR44 =</t>
  </si>
  <si>
    <t>italiano</t>
  </si>
  <si>
    <t>DR29 =</t>
  </si>
  <si>
    <t>český</t>
  </si>
  <si>
    <t>FX.12 =</t>
  </si>
  <si>
    <t>polski</t>
  </si>
  <si>
    <t>PR =</t>
  </si>
  <si>
    <t>magyar</t>
  </si>
  <si>
    <t>QR =</t>
  </si>
  <si>
    <t>slovenský</t>
  </si>
  <si>
    <t>RI =</t>
  </si>
  <si>
    <t>Nederlands</t>
  </si>
  <si>
    <t>DS.19 =</t>
  </si>
  <si>
    <t>Slovenski</t>
  </si>
  <si>
    <t>svenska</t>
  </si>
  <si>
    <t>dansk</t>
  </si>
  <si>
    <t>norsk</t>
  </si>
  <si>
    <t>Ermittlung für Spalte "Total" - "L"</t>
  </si>
  <si>
    <t>glatt</t>
  </si>
  <si>
    <t>stucco</t>
  </si>
  <si>
    <t>VPE</t>
  </si>
  <si>
    <t>STK</t>
  </si>
  <si>
    <t xml:space="preserve">P.10 anthrazit </t>
  </si>
  <si>
    <t xml:space="preserve">P.10 oxydrot </t>
  </si>
  <si>
    <t>P.10 hellgrau</t>
  </si>
  <si>
    <t xml:space="preserve">P.10 braun </t>
  </si>
  <si>
    <t xml:space="preserve">P.10 steingrau </t>
  </si>
  <si>
    <t xml:space="preserve">P.10 ziegelrot </t>
  </si>
  <si>
    <t xml:space="preserve">P.10 nussbraun </t>
  </si>
  <si>
    <t>P.10 moosgrün</t>
  </si>
  <si>
    <t xml:space="preserve">P.10 schwarz </t>
  </si>
  <si>
    <t>P.10 dunkelgrau</t>
  </si>
  <si>
    <t xml:space="preserve">anthrazit </t>
  </si>
  <si>
    <t xml:space="preserve">oxydrot </t>
  </si>
  <si>
    <t>hellgrau</t>
  </si>
  <si>
    <t xml:space="preserve">braun </t>
  </si>
  <si>
    <t xml:space="preserve">steingrau </t>
  </si>
  <si>
    <t xml:space="preserve">ziegelrot </t>
  </si>
  <si>
    <t xml:space="preserve">nussbraun </t>
  </si>
  <si>
    <t>moosgrün</t>
  </si>
  <si>
    <t xml:space="preserve">schwarz </t>
  </si>
  <si>
    <t>blank</t>
  </si>
  <si>
    <t>Blank passt ned</t>
  </si>
  <si>
    <t>110409</t>
  </si>
  <si>
    <t>040100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</si>
  <si>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</si>
  <si>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</si>
  <si>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</si>
  <si>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</si>
  <si>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</si>
  <si>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</si>
  <si>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</si>
  <si>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</si>
  <si>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040404</t>
  </si>
  <si>
    <t>040120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</si>
  <si>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</si>
  <si>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</si>
  <si>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</si>
  <si>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</si>
  <si>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</si>
  <si>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</si>
  <si>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</si>
  <si>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</si>
  <si>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040424</t>
  </si>
  <si>
    <t>&lt;- 60 kg</t>
  </si>
  <si>
    <t xml:space="preserve">500kg -&gt; </t>
  </si>
  <si>
    <t xml:space="preserve">STK </t>
  </si>
  <si>
    <t>01 braun</t>
  </si>
  <si>
    <t>anthrazit</t>
  </si>
  <si>
    <t>03 schwarz</t>
  </si>
  <si>
    <t>04 ziegelrot</t>
  </si>
  <si>
    <t>05 oxydrot</t>
  </si>
  <si>
    <t>07 hellgrau</t>
  </si>
  <si>
    <t>steingrau</t>
  </si>
  <si>
    <t>11 nussbraun</t>
  </si>
  <si>
    <t>06 moosgrün</t>
  </si>
  <si>
    <t>08 zinkgrau</t>
  </si>
  <si>
    <t>10 prefaweiß</t>
  </si>
  <si>
    <t>12 silbermetallic</t>
  </si>
  <si>
    <t>45 bronze</t>
  </si>
  <si>
    <t>46 patina grün</t>
  </si>
  <si>
    <t>23 schwarzgrau</t>
  </si>
  <si>
    <t>47 patina grau</t>
  </si>
  <si>
    <t>17 reinweiß P.10</t>
  </si>
  <si>
    <t>19 dunkelgrau P.10</t>
  </si>
  <si>
    <t xml:space="preserve">040303  </t>
  </si>
  <si>
    <t xml:space="preserve">040300  </t>
  </si>
  <si>
    <t xml:space="preserve">040308  </t>
  </si>
  <si>
    <t xml:space="preserve">040305  </t>
  </si>
  <si>
    <t xml:space="preserve">040301  </t>
  </si>
  <si>
    <t xml:space="preserve">040302  </t>
  </si>
  <si>
    <t xml:space="preserve">040304  </t>
  </si>
  <si>
    <t xml:space="preserve">040306  </t>
  </si>
  <si>
    <t xml:space="preserve">040307  </t>
  </si>
  <si>
    <t xml:space="preserve">040441  </t>
  </si>
  <si>
    <t xml:space="preserve">040442  </t>
  </si>
  <si>
    <t xml:space="preserve">030724  </t>
  </si>
  <si>
    <t xml:space="preserve">030722  </t>
  </si>
  <si>
    <t xml:space="preserve">040440  </t>
  </si>
  <si>
    <t>040443</t>
  </si>
  <si>
    <t xml:space="preserve">030804  </t>
  </si>
  <si>
    <t xml:space="preserve">030803  </t>
  </si>
  <si>
    <t>040445</t>
  </si>
  <si>
    <t>040444</t>
  </si>
  <si>
    <t xml:space="preserve">040323  </t>
  </si>
  <si>
    <t xml:space="preserve">040320  </t>
  </si>
  <si>
    <t xml:space="preserve">040328  </t>
  </si>
  <si>
    <t xml:space="preserve">040325  </t>
  </si>
  <si>
    <t xml:space="preserve">040321  </t>
  </si>
  <si>
    <t xml:space="preserve">040322  </t>
  </si>
  <si>
    <t xml:space="preserve">040324  </t>
  </si>
  <si>
    <t xml:space="preserve">040326  </t>
  </si>
  <si>
    <t xml:space="preserve">040327  </t>
  </si>
  <si>
    <t xml:space="preserve">040461  </t>
  </si>
  <si>
    <t xml:space="preserve">040462  </t>
  </si>
  <si>
    <t xml:space="preserve">030154  </t>
  </si>
  <si>
    <t xml:space="preserve">030152  </t>
  </si>
  <si>
    <t xml:space="preserve">040460  </t>
  </si>
  <si>
    <t>040465</t>
  </si>
  <si>
    <t>040464</t>
  </si>
  <si>
    <t>040313</t>
  </si>
  <si>
    <t>040310</t>
  </si>
  <si>
    <t>040318</t>
  </si>
  <si>
    <t>040315</t>
  </si>
  <si>
    <t>0040311</t>
  </si>
  <si>
    <t>040312</t>
  </si>
  <si>
    <t>040314</t>
  </si>
  <si>
    <t>040316</t>
  </si>
  <si>
    <t>040317</t>
  </si>
  <si>
    <t>040451</t>
  </si>
  <si>
    <t>040452</t>
  </si>
  <si>
    <t>030749</t>
  </si>
  <si>
    <t>030747</t>
  </si>
  <si>
    <t>040450</t>
  </si>
  <si>
    <t>040453</t>
  </si>
  <si>
    <t>030814</t>
  </si>
  <si>
    <t>030813</t>
  </si>
  <si>
    <t>040455</t>
  </si>
  <si>
    <t>040454</t>
  </si>
  <si>
    <t>040333</t>
  </si>
  <si>
    <t>040330</t>
  </si>
  <si>
    <t>040338</t>
  </si>
  <si>
    <t>040335</t>
  </si>
  <si>
    <t>040331</t>
  </si>
  <si>
    <t>040334</t>
  </si>
  <si>
    <t>040336</t>
  </si>
  <si>
    <t>040337</t>
  </si>
  <si>
    <t>040471</t>
  </si>
  <si>
    <t>040472</t>
  </si>
  <si>
    <t>030184</t>
  </si>
  <si>
    <t>030182</t>
  </si>
  <si>
    <t>040470</t>
  </si>
  <si>
    <t>040475</t>
  </si>
  <si>
    <t>040474</t>
  </si>
  <si>
    <t xml:space="preserve">040203  </t>
  </si>
  <si>
    <t xml:space="preserve">040200  </t>
  </si>
  <si>
    <t xml:space="preserve">040208  </t>
  </si>
  <si>
    <t xml:space="preserve">040205  </t>
  </si>
  <si>
    <t xml:space="preserve">040201  </t>
  </si>
  <si>
    <t xml:space="preserve">040202  </t>
  </si>
  <si>
    <t xml:space="preserve">040204  </t>
  </si>
  <si>
    <t xml:space="preserve">040206  </t>
  </si>
  <si>
    <t xml:space="preserve">040207  </t>
  </si>
  <si>
    <t xml:space="preserve">040481  </t>
  </si>
  <si>
    <t xml:space="preserve">040482  </t>
  </si>
  <si>
    <t xml:space="preserve">035101  </t>
  </si>
  <si>
    <t xml:space="preserve">030340  </t>
  </si>
  <si>
    <t xml:space="preserve">040480  </t>
  </si>
  <si>
    <t xml:space="preserve">030807  </t>
  </si>
  <si>
    <t xml:space="preserve">030806  </t>
  </si>
  <si>
    <t>040485</t>
  </si>
  <si>
    <t>040484</t>
  </si>
  <si>
    <t xml:space="preserve">040223  </t>
  </si>
  <si>
    <t xml:space="preserve">040220  </t>
  </si>
  <si>
    <t xml:space="preserve">040228  </t>
  </si>
  <si>
    <t xml:space="preserve">040225  </t>
  </si>
  <si>
    <t xml:space="preserve">040221  </t>
  </si>
  <si>
    <t xml:space="preserve">040222  </t>
  </si>
  <si>
    <t xml:space="preserve">040224  </t>
  </si>
  <si>
    <t xml:space="preserve">040226  </t>
  </si>
  <si>
    <t xml:space="preserve">040227  </t>
  </si>
  <si>
    <t xml:space="preserve">040501  </t>
  </si>
  <si>
    <t xml:space="preserve">040502  </t>
  </si>
  <si>
    <t xml:space="preserve">030514  </t>
  </si>
  <si>
    <t xml:space="preserve">030513  </t>
  </si>
  <si>
    <t xml:space="preserve">040500  </t>
  </si>
  <si>
    <t>040505</t>
  </si>
  <si>
    <t>040504</t>
  </si>
  <si>
    <t>040213</t>
  </si>
  <si>
    <t>040210</t>
  </si>
  <si>
    <t>040218</t>
  </si>
  <si>
    <t>040215</t>
  </si>
  <si>
    <t>040211</t>
  </si>
  <si>
    <t>040212</t>
  </si>
  <si>
    <t>040214</t>
  </si>
  <si>
    <t>040216</t>
  </si>
  <si>
    <t>040217</t>
  </si>
  <si>
    <t>040491</t>
  </si>
  <si>
    <t>040492</t>
  </si>
  <si>
    <t>035102</t>
  </si>
  <si>
    <t>030339</t>
  </si>
  <si>
    <t>040490</t>
  </si>
  <si>
    <t>030817</t>
  </si>
  <si>
    <t>030816</t>
  </si>
  <si>
    <t>040495</t>
  </si>
  <si>
    <t>040494</t>
  </si>
  <si>
    <t>040233</t>
  </si>
  <si>
    <t>040230</t>
  </si>
  <si>
    <t>040238</t>
  </si>
  <si>
    <t>040235</t>
  </si>
  <si>
    <t>040231</t>
  </si>
  <si>
    <t>040232</t>
  </si>
  <si>
    <t>040234</t>
  </si>
  <si>
    <t>040236</t>
  </si>
  <si>
    <t>040237</t>
  </si>
  <si>
    <t>040511</t>
  </si>
  <si>
    <t>040512</t>
  </si>
  <si>
    <t>030544</t>
  </si>
  <si>
    <t>030543</t>
  </si>
  <si>
    <t>040510</t>
  </si>
  <si>
    <t>040515</t>
  </si>
  <si>
    <t>040514</t>
  </si>
  <si>
    <t xml:space="preserve">040103  </t>
  </si>
  <si>
    <t xml:space="preserve">040100  </t>
  </si>
  <si>
    <t xml:space="preserve">040108  </t>
  </si>
  <si>
    <t xml:space="preserve">040105  </t>
  </si>
  <si>
    <t xml:space="preserve">040101  </t>
  </si>
  <si>
    <t xml:space="preserve">040102  </t>
  </si>
  <si>
    <t xml:space="preserve">040104  </t>
  </si>
  <si>
    <t xml:space="preserve">040106  </t>
  </si>
  <si>
    <t xml:space="preserve">040107  </t>
  </si>
  <si>
    <t xml:space="preserve">040401  </t>
  </si>
  <si>
    <t xml:space="preserve">040402  </t>
  </si>
  <si>
    <t xml:space="preserve">030110  </t>
  </si>
  <si>
    <t xml:space="preserve">030369  </t>
  </si>
  <si>
    <t xml:space="preserve">040400  </t>
  </si>
  <si>
    <t>040403</t>
  </si>
  <si>
    <t xml:space="preserve">030370  </t>
  </si>
  <si>
    <t xml:space="preserve">030361  </t>
  </si>
  <si>
    <t>040405</t>
  </si>
  <si>
    <t xml:space="preserve">040123  </t>
  </si>
  <si>
    <t xml:space="preserve">040120  </t>
  </si>
  <si>
    <t xml:space="preserve">040128  </t>
  </si>
  <si>
    <t xml:space="preserve">040125  </t>
  </si>
  <si>
    <t xml:space="preserve">040121  </t>
  </si>
  <si>
    <t xml:space="preserve">040122  </t>
  </si>
  <si>
    <t xml:space="preserve">040124  </t>
  </si>
  <si>
    <t xml:space="preserve">040126  </t>
  </si>
  <si>
    <t xml:space="preserve">040127  </t>
  </si>
  <si>
    <t xml:space="preserve">040421  </t>
  </si>
  <si>
    <t xml:space="preserve">040422  </t>
  </si>
  <si>
    <t xml:space="preserve">030124  </t>
  </si>
  <si>
    <t xml:space="preserve">030123  </t>
  </si>
  <si>
    <t xml:space="preserve">040420  </t>
  </si>
  <si>
    <t>040425</t>
  </si>
  <si>
    <t>040113</t>
  </si>
  <si>
    <t>040110</t>
  </si>
  <si>
    <t>040118</t>
  </si>
  <si>
    <t>040115</t>
  </si>
  <si>
    <t>040111</t>
  </si>
  <si>
    <t>040112</t>
  </si>
  <si>
    <t>040114</t>
  </si>
  <si>
    <t>040116</t>
  </si>
  <si>
    <t>040117</t>
  </si>
  <si>
    <t>040411</t>
  </si>
  <si>
    <t>040412</t>
  </si>
  <si>
    <t>030388</t>
  </si>
  <si>
    <t>030386</t>
  </si>
  <si>
    <t>040410</t>
  </si>
  <si>
    <t>040413</t>
  </si>
  <si>
    <t>030392</t>
  </si>
  <si>
    <t>030390</t>
  </si>
  <si>
    <t>040415</t>
  </si>
  <si>
    <t>040414</t>
  </si>
  <si>
    <t>040133</t>
  </si>
  <si>
    <t>040130</t>
  </si>
  <si>
    <t>040138</t>
  </si>
  <si>
    <t>040135</t>
  </si>
  <si>
    <t>040131</t>
  </si>
  <si>
    <t>040132</t>
  </si>
  <si>
    <t>040134</t>
  </si>
  <si>
    <t>040136</t>
  </si>
  <si>
    <t>040137</t>
  </si>
  <si>
    <t>040431</t>
  </si>
  <si>
    <t>040432</t>
  </si>
  <si>
    <t>030565</t>
  </si>
  <si>
    <t>040430</t>
  </si>
  <si>
    <t>040435</t>
  </si>
  <si>
    <t>040434</t>
  </si>
  <si>
    <t>121004</t>
  </si>
  <si>
    <t>121002</t>
  </si>
  <si>
    <t>121006</t>
  </si>
  <si>
    <t>563015</t>
  </si>
  <si>
    <t>121010</t>
  </si>
  <si>
    <t>121011</t>
  </si>
  <si>
    <t xml:space="preserve">513029  </t>
  </si>
  <si>
    <t>513111</t>
  </si>
  <si>
    <t>121014</t>
  </si>
  <si>
    <t>121012</t>
  </si>
  <si>
    <t>121016</t>
  </si>
  <si>
    <t>121015</t>
  </si>
  <si>
    <t>110217</t>
  </si>
  <si>
    <t>121020</t>
  </si>
  <si>
    <t xml:space="preserve">121021  </t>
  </si>
  <si>
    <t xml:space="preserve">513083  </t>
  </si>
  <si>
    <t>121024</t>
  </si>
  <si>
    <t>121022</t>
  </si>
  <si>
    <t>121026</t>
  </si>
  <si>
    <t>121025</t>
  </si>
  <si>
    <t>Deckle + Rahmen</t>
  </si>
  <si>
    <t>Fenster-deckel</t>
  </si>
  <si>
    <t>120243</t>
  </si>
  <si>
    <t>120240</t>
  </si>
  <si>
    <t>120248</t>
  </si>
  <si>
    <t>120245</t>
  </si>
  <si>
    <t>120241</t>
  </si>
  <si>
    <t>120242</t>
  </si>
  <si>
    <t>120244</t>
  </si>
  <si>
    <t>120246</t>
  </si>
  <si>
    <t>120247</t>
  </si>
  <si>
    <t>121050</t>
  </si>
  <si>
    <t>121051</t>
  </si>
  <si>
    <t>537730</t>
  </si>
  <si>
    <t>121053</t>
  </si>
  <si>
    <t>121054</t>
  </si>
  <si>
    <t>121052</t>
  </si>
  <si>
    <t>121056</t>
  </si>
  <si>
    <t>121055</t>
  </si>
  <si>
    <t>121103</t>
  </si>
  <si>
    <t>121104</t>
  </si>
  <si>
    <t>121102</t>
  </si>
  <si>
    <t>121106</t>
  </si>
  <si>
    <t>121105</t>
  </si>
  <si>
    <t>121122</t>
  </si>
  <si>
    <t>121116</t>
  </si>
  <si>
    <t>121115</t>
  </si>
  <si>
    <t>121134</t>
  </si>
  <si>
    <t>121132</t>
  </si>
  <si>
    <t>121136</t>
  </si>
  <si>
    <t>121135</t>
  </si>
  <si>
    <t>121153</t>
  </si>
  <si>
    <t>121154</t>
  </si>
  <si>
    <t>121152</t>
  </si>
  <si>
    <t>121156</t>
  </si>
  <si>
    <t>121155</t>
  </si>
  <si>
    <t>121163</t>
  </si>
  <si>
    <t>121164</t>
  </si>
  <si>
    <t>121162</t>
  </si>
  <si>
    <t>121166</t>
  </si>
  <si>
    <t>121165</t>
  </si>
  <si>
    <t>121093</t>
  </si>
  <si>
    <t>121094</t>
  </si>
  <si>
    <t>121092</t>
  </si>
  <si>
    <t>121096</t>
  </si>
  <si>
    <t>121095</t>
  </si>
  <si>
    <t>121082</t>
  </si>
  <si>
    <t>121073</t>
  </si>
  <si>
    <t>121074</t>
  </si>
  <si>
    <t>121072</t>
  </si>
  <si>
    <t>121076</t>
  </si>
  <si>
    <t>121075</t>
  </si>
  <si>
    <t>121062</t>
  </si>
  <si>
    <t>Verkaufsgrößen</t>
  </si>
  <si>
    <t>silbermet</t>
  </si>
  <si>
    <t>572251</t>
  </si>
  <si>
    <t>25er3m</t>
  </si>
  <si>
    <t>28er3m</t>
  </si>
  <si>
    <t>33er3m</t>
  </si>
  <si>
    <t>40er3m</t>
  </si>
  <si>
    <t>25er6m</t>
  </si>
  <si>
    <t>28er6m</t>
  </si>
  <si>
    <t>33er6m</t>
  </si>
  <si>
    <t>40er6m</t>
  </si>
  <si>
    <t>norm25er</t>
  </si>
  <si>
    <t>kurz25er</t>
  </si>
  <si>
    <t>norm28er</t>
  </si>
  <si>
    <t>kurz28er</t>
  </si>
  <si>
    <t>lang28er</t>
  </si>
  <si>
    <t>norm33er</t>
  </si>
  <si>
    <t>kurz33er</t>
  </si>
  <si>
    <t>lang33er</t>
  </si>
  <si>
    <t>norm40er</t>
  </si>
  <si>
    <t>521503</t>
  </si>
  <si>
    <t>521562</t>
  </si>
  <si>
    <t>521560</t>
  </si>
  <si>
    <t>521561</t>
  </si>
  <si>
    <t>250/28x7</t>
  </si>
  <si>
    <t>280/28x7</t>
  </si>
  <si>
    <t>333/28x7</t>
  </si>
  <si>
    <t>333/23x7</t>
  </si>
  <si>
    <t>522061</t>
  </si>
  <si>
    <t>522064</t>
  </si>
  <si>
    <t>522062</t>
  </si>
  <si>
    <t>522063</t>
  </si>
  <si>
    <t>522067</t>
  </si>
  <si>
    <t>522065</t>
  </si>
  <si>
    <t>522068</t>
  </si>
  <si>
    <t>522066</t>
  </si>
  <si>
    <t>400/23x7</t>
  </si>
  <si>
    <t>522081</t>
  </si>
  <si>
    <t>280/23x7</t>
  </si>
  <si>
    <t>25er</t>
  </si>
  <si>
    <t>28er</t>
  </si>
  <si>
    <t>33er</t>
  </si>
  <si>
    <t>40er</t>
  </si>
  <si>
    <t>519120</t>
  </si>
  <si>
    <t>519123</t>
  </si>
  <si>
    <t>519121</t>
  </si>
  <si>
    <t>519122</t>
  </si>
  <si>
    <t>250x60</t>
  </si>
  <si>
    <t>250x80</t>
  </si>
  <si>
    <t>280x80</t>
  </si>
  <si>
    <t>280x100</t>
  </si>
  <si>
    <t>333x80</t>
  </si>
  <si>
    <t>333x100</t>
  </si>
  <si>
    <t>333x120</t>
  </si>
  <si>
    <t>400x120</t>
  </si>
  <si>
    <t>400x150</t>
  </si>
  <si>
    <t>537044</t>
  </si>
  <si>
    <t>537048</t>
  </si>
  <si>
    <t>537045</t>
  </si>
  <si>
    <t>537046</t>
  </si>
  <si>
    <t>573230</t>
  </si>
  <si>
    <t>573233</t>
  </si>
  <si>
    <t>573232</t>
  </si>
  <si>
    <t>573231</t>
  </si>
  <si>
    <t>573236</t>
  </si>
  <si>
    <t>573234</t>
  </si>
  <si>
    <t>573237</t>
  </si>
  <si>
    <t>573235</t>
  </si>
  <si>
    <t>573314</t>
  </si>
  <si>
    <t>573312</t>
  </si>
  <si>
    <t>573311</t>
  </si>
  <si>
    <t>50er3m</t>
  </si>
  <si>
    <t>lfm</t>
  </si>
  <si>
    <t>50er6m</t>
  </si>
  <si>
    <t>250/23x7</t>
  </si>
  <si>
    <t>400/30x7</t>
  </si>
  <si>
    <t>500/35x7</t>
  </si>
  <si>
    <t>50er</t>
  </si>
  <si>
    <t>524021</t>
  </si>
  <si>
    <t>524024</t>
  </si>
  <si>
    <t>524017</t>
  </si>
  <si>
    <t>524020</t>
  </si>
  <si>
    <t>524018</t>
  </si>
  <si>
    <t>524019</t>
  </si>
  <si>
    <t>500x120</t>
  </si>
  <si>
    <t>500x150</t>
  </si>
  <si>
    <t>668420</t>
  </si>
  <si>
    <t>519200</t>
  </si>
  <si>
    <t>519203</t>
  </si>
  <si>
    <t>519201</t>
  </si>
  <si>
    <t>519202</t>
  </si>
  <si>
    <t>Ø58</t>
  </si>
  <si>
    <t>526250</t>
  </si>
  <si>
    <t>526253</t>
  </si>
  <si>
    <t>526251</t>
  </si>
  <si>
    <t>526252</t>
  </si>
  <si>
    <t xml:space="preserve">526005  </t>
  </si>
  <si>
    <t xml:space="preserve">526013  </t>
  </si>
  <si>
    <t xml:space="preserve">526012  </t>
  </si>
  <si>
    <t xml:space="preserve">526020  </t>
  </si>
  <si>
    <t xml:space="preserve">526015  </t>
  </si>
  <si>
    <t xml:space="preserve">526019  </t>
  </si>
  <si>
    <t xml:space="preserve">526027  </t>
  </si>
  <si>
    <t xml:space="preserve">526023  </t>
  </si>
  <si>
    <t xml:space="preserve">526069  </t>
  </si>
  <si>
    <t xml:space="preserve">526084  </t>
  </si>
  <si>
    <t xml:space="preserve">526078  </t>
  </si>
  <si>
    <t xml:space="preserve">526007  </t>
  </si>
  <si>
    <t xml:space="preserve">526008  </t>
  </si>
  <si>
    <t xml:space="preserve">526003  </t>
  </si>
  <si>
    <t xml:space="preserve">526018  </t>
  </si>
  <si>
    <t xml:space="preserve">526006  </t>
  </si>
  <si>
    <t xml:space="preserve">526017  </t>
  </si>
  <si>
    <t xml:space="preserve">526026  </t>
  </si>
  <si>
    <t xml:space="preserve">526024  </t>
  </si>
  <si>
    <t xml:space="preserve">526033  </t>
  </si>
  <si>
    <t xml:space="preserve">526077  </t>
  </si>
  <si>
    <t xml:space="preserve">526079  </t>
  </si>
  <si>
    <t xml:space="preserve">526001  </t>
  </si>
  <si>
    <t xml:space="preserve">526002  </t>
  </si>
  <si>
    <t xml:space="preserve">526004  </t>
  </si>
  <si>
    <t xml:space="preserve">526022  </t>
  </si>
  <si>
    <t xml:space="preserve">526011  </t>
  </si>
  <si>
    <t xml:space="preserve">526021  </t>
  </si>
  <si>
    <t xml:space="preserve">526028  </t>
  </si>
  <si>
    <t xml:space="preserve">526025  </t>
  </si>
  <si>
    <t xml:space="preserve">526072  </t>
  </si>
  <si>
    <t xml:space="preserve">526085  </t>
  </si>
  <si>
    <t xml:space="preserve">526080  </t>
  </si>
  <si>
    <t xml:space="preserve">526009  </t>
  </si>
  <si>
    <t xml:space="preserve">526010  </t>
  </si>
  <si>
    <t xml:space="preserve">526014  </t>
  </si>
  <si>
    <t xml:space="preserve">526016  </t>
  </si>
  <si>
    <t>526270</t>
  </si>
  <si>
    <t xml:space="preserve">526070  </t>
  </si>
  <si>
    <t xml:space="preserve">526312  </t>
  </si>
  <si>
    <t xml:space="preserve">526310  </t>
  </si>
  <si>
    <t xml:space="preserve">526311  </t>
  </si>
  <si>
    <t xml:space="preserve">526313  </t>
  </si>
  <si>
    <t xml:space="preserve">526318  </t>
  </si>
  <si>
    <t xml:space="preserve">526071  </t>
  </si>
  <si>
    <t xml:space="preserve">526302  </t>
  </si>
  <si>
    <t xml:space="preserve">526300  </t>
  </si>
  <si>
    <t xml:space="preserve">526301  </t>
  </si>
  <si>
    <t xml:space="preserve">526303  </t>
  </si>
  <si>
    <t xml:space="preserve">526308  </t>
  </si>
  <si>
    <t xml:space="preserve">526076  </t>
  </si>
  <si>
    <t xml:space="preserve">526322  </t>
  </si>
  <si>
    <t xml:space="preserve">526320  </t>
  </si>
  <si>
    <t xml:space="preserve">526321  </t>
  </si>
  <si>
    <t>526230</t>
  </si>
  <si>
    <t xml:space="preserve">526035  </t>
  </si>
  <si>
    <t xml:space="preserve">526053  </t>
  </si>
  <si>
    <t xml:space="preserve">526050  </t>
  </si>
  <si>
    <t xml:space="preserve">526059  </t>
  </si>
  <si>
    <t xml:space="preserve">526051  </t>
  </si>
  <si>
    <t xml:space="preserve">526052  </t>
  </si>
  <si>
    <t xml:space="preserve">526064  </t>
  </si>
  <si>
    <t xml:space="preserve">526056  </t>
  </si>
  <si>
    <t xml:space="preserve">526073  </t>
  </si>
  <si>
    <t xml:space="preserve">526086  </t>
  </si>
  <si>
    <t xml:space="preserve">526081  </t>
  </si>
  <si>
    <t xml:space="preserve">526036  </t>
  </si>
  <si>
    <t xml:space="preserve">526054  </t>
  </si>
  <si>
    <t xml:space="preserve">526044  </t>
  </si>
  <si>
    <t xml:space="preserve">526060  </t>
  </si>
  <si>
    <t xml:space="preserve">526045  </t>
  </si>
  <si>
    <t xml:space="preserve">526046  </t>
  </si>
  <si>
    <t xml:space="preserve">526062  </t>
  </si>
  <si>
    <t xml:space="preserve">526057  </t>
  </si>
  <si>
    <t xml:space="preserve">526040  </t>
  </si>
  <si>
    <t xml:space="preserve">526075  </t>
  </si>
  <si>
    <t xml:space="preserve">526082  </t>
  </si>
  <si>
    <t xml:space="preserve">526037  </t>
  </si>
  <si>
    <t xml:space="preserve">526055  </t>
  </si>
  <si>
    <t xml:space="preserve">526047  </t>
  </si>
  <si>
    <t xml:space="preserve">526061  </t>
  </si>
  <si>
    <t xml:space="preserve">526048  </t>
  </si>
  <si>
    <t xml:space="preserve">526049  </t>
  </si>
  <si>
    <t xml:space="preserve">526063  </t>
  </si>
  <si>
    <t xml:space="preserve">526058  </t>
  </si>
  <si>
    <t xml:space="preserve">526074  </t>
  </si>
  <si>
    <t xml:space="preserve">526087  </t>
  </si>
  <si>
    <t xml:space="preserve">526083  </t>
  </si>
  <si>
    <t xml:space="preserve">527011  </t>
  </si>
  <si>
    <t xml:space="preserve">527012  </t>
  </si>
  <si>
    <t xml:space="preserve">527013  </t>
  </si>
  <si>
    <t xml:space="preserve">527020  </t>
  </si>
  <si>
    <t xml:space="preserve">527014  </t>
  </si>
  <si>
    <t xml:space="preserve">527019  </t>
  </si>
  <si>
    <t xml:space="preserve">527027  </t>
  </si>
  <si>
    <t xml:space="preserve">527023  </t>
  </si>
  <si>
    <t xml:space="preserve">527036  </t>
  </si>
  <si>
    <t xml:space="preserve">527042  </t>
  </si>
  <si>
    <t xml:space="preserve">527039  </t>
  </si>
  <si>
    <t xml:space="preserve">527009  </t>
  </si>
  <si>
    <t xml:space="preserve">527010  </t>
  </si>
  <si>
    <t xml:space="preserve">527001  </t>
  </si>
  <si>
    <t xml:space="preserve">527018  </t>
  </si>
  <si>
    <t xml:space="preserve">527003  </t>
  </si>
  <si>
    <t xml:space="preserve">527017  </t>
  </si>
  <si>
    <t xml:space="preserve">527026  </t>
  </si>
  <si>
    <t xml:space="preserve">527024  </t>
  </si>
  <si>
    <t xml:space="preserve">527030  </t>
  </si>
  <si>
    <t xml:space="preserve">527038  </t>
  </si>
  <si>
    <t xml:space="preserve">527040  </t>
  </si>
  <si>
    <t xml:space="preserve">527007  </t>
  </si>
  <si>
    <t xml:space="preserve">527008  </t>
  </si>
  <si>
    <t xml:space="preserve">527002  </t>
  </si>
  <si>
    <t xml:space="preserve">527022  </t>
  </si>
  <si>
    <t xml:space="preserve">527004  </t>
  </si>
  <si>
    <t xml:space="preserve">527021  </t>
  </si>
  <si>
    <t xml:space="preserve">527028  </t>
  </si>
  <si>
    <t xml:space="preserve">527025  </t>
  </si>
  <si>
    <t xml:space="preserve">527037  </t>
  </si>
  <si>
    <t xml:space="preserve">527043  </t>
  </si>
  <si>
    <t xml:space="preserve">527041  </t>
  </si>
  <si>
    <t xml:space="preserve">527005  </t>
  </si>
  <si>
    <t xml:space="preserve">527006  </t>
  </si>
  <si>
    <t xml:space="preserve">527016  </t>
  </si>
  <si>
    <t xml:space="preserve">527015  </t>
  </si>
  <si>
    <t>527400</t>
  </si>
  <si>
    <t xml:space="preserve">539220  </t>
  </si>
  <si>
    <t xml:space="preserve">539223  </t>
  </si>
  <si>
    <t xml:space="preserve">539221  </t>
  </si>
  <si>
    <t xml:space="preserve">539226  </t>
  </si>
  <si>
    <t xml:space="preserve">539222  </t>
  </si>
  <si>
    <t xml:space="preserve">539224  </t>
  </si>
  <si>
    <t xml:space="preserve">539227  </t>
  </si>
  <si>
    <t xml:space="preserve">539225  </t>
  </si>
  <si>
    <t xml:space="preserve">539229  </t>
  </si>
  <si>
    <t xml:space="preserve">539231  </t>
  </si>
  <si>
    <t xml:space="preserve">539230  </t>
  </si>
  <si>
    <t xml:space="preserve">539200  </t>
  </si>
  <si>
    <t xml:space="preserve">539203  </t>
  </si>
  <si>
    <t xml:space="preserve">539201  </t>
  </si>
  <si>
    <t xml:space="preserve">539206  </t>
  </si>
  <si>
    <t xml:space="preserve">539202  </t>
  </si>
  <si>
    <t xml:space="preserve">539204  </t>
  </si>
  <si>
    <t xml:space="preserve">539207  </t>
  </si>
  <si>
    <t xml:space="preserve">539205  </t>
  </si>
  <si>
    <t xml:space="preserve">539209  </t>
  </si>
  <si>
    <t xml:space="preserve">539212  </t>
  </si>
  <si>
    <t xml:space="preserve">539213  </t>
  </si>
  <si>
    <t xml:space="preserve">539240  </t>
  </si>
  <si>
    <t xml:space="preserve">539243  </t>
  </si>
  <si>
    <t xml:space="preserve">539241  </t>
  </si>
  <si>
    <t xml:space="preserve">539246  </t>
  </si>
  <si>
    <t xml:space="preserve">539242  </t>
  </si>
  <si>
    <t xml:space="preserve">539244  </t>
  </si>
  <si>
    <t xml:space="preserve">539247  </t>
  </si>
  <si>
    <t xml:space="preserve">539245  </t>
  </si>
  <si>
    <t xml:space="preserve">539249  </t>
  </si>
  <si>
    <t xml:space="preserve">539251  </t>
  </si>
  <si>
    <t xml:space="preserve">539250  </t>
  </si>
  <si>
    <t xml:space="preserve">539009  </t>
  </si>
  <si>
    <t xml:space="preserve">539011  </t>
  </si>
  <si>
    <t xml:space="preserve">539010  </t>
  </si>
  <si>
    <t xml:space="preserve">539016  </t>
  </si>
  <si>
    <t xml:space="preserve">539012  </t>
  </si>
  <si>
    <t xml:space="preserve">539015  </t>
  </si>
  <si>
    <t xml:space="preserve">539023  </t>
  </si>
  <si>
    <t xml:space="preserve">539019  </t>
  </si>
  <si>
    <t xml:space="preserve">539025  </t>
  </si>
  <si>
    <t xml:space="preserve">539040  </t>
  </si>
  <si>
    <t xml:space="preserve">539037  </t>
  </si>
  <si>
    <t xml:space="preserve">539002  </t>
  </si>
  <si>
    <t xml:space="preserve">539001  </t>
  </si>
  <si>
    <t xml:space="preserve">539005  </t>
  </si>
  <si>
    <t xml:space="preserve">539014  </t>
  </si>
  <si>
    <t xml:space="preserve">539007  </t>
  </si>
  <si>
    <t xml:space="preserve">539013  </t>
  </si>
  <si>
    <t xml:space="preserve">539022  </t>
  </si>
  <si>
    <t xml:space="preserve">539020  </t>
  </si>
  <si>
    <t xml:space="preserve">539030  </t>
  </si>
  <si>
    <t xml:space="preserve">539036  </t>
  </si>
  <si>
    <t xml:space="preserve">539038  </t>
  </si>
  <si>
    <t xml:space="preserve">539004  </t>
  </si>
  <si>
    <t xml:space="preserve">539003  </t>
  </si>
  <si>
    <t xml:space="preserve">539006  </t>
  </si>
  <si>
    <t xml:space="preserve">539018  </t>
  </si>
  <si>
    <t xml:space="preserve">539008  </t>
  </si>
  <si>
    <t xml:space="preserve">539017  </t>
  </si>
  <si>
    <t xml:space="preserve">539024  </t>
  </si>
  <si>
    <t xml:space="preserve">539021  </t>
  </si>
  <si>
    <t xml:space="preserve">539026  </t>
  </si>
  <si>
    <t xml:space="preserve">539041  </t>
  </si>
  <si>
    <t xml:space="preserve">539039  </t>
  </si>
  <si>
    <t>542140</t>
  </si>
  <si>
    <t>542143</t>
  </si>
  <si>
    <t>542141</t>
  </si>
  <si>
    <t>542142</t>
  </si>
  <si>
    <t>60/80</t>
  </si>
  <si>
    <t>542018</t>
  </si>
  <si>
    <t>542019</t>
  </si>
  <si>
    <t>542020</t>
  </si>
  <si>
    <t>542033</t>
  </si>
  <si>
    <t>542022</t>
  </si>
  <si>
    <t>542023</t>
  </si>
  <si>
    <t>542050</t>
  </si>
  <si>
    <t>542028</t>
  </si>
  <si>
    <t>542061</t>
  </si>
  <si>
    <t>542067</t>
  </si>
  <si>
    <t>542072</t>
  </si>
  <si>
    <t>80/80</t>
  </si>
  <si>
    <t>542120</t>
  </si>
  <si>
    <t>542123</t>
  </si>
  <si>
    <t>542121</t>
  </si>
  <si>
    <t>542122</t>
  </si>
  <si>
    <t>100/60</t>
  </si>
  <si>
    <t>542015</t>
  </si>
  <si>
    <t>542016</t>
  </si>
  <si>
    <t>542017</t>
  </si>
  <si>
    <t>542034</t>
  </si>
  <si>
    <t>542021</t>
  </si>
  <si>
    <t>542024</t>
  </si>
  <si>
    <t>542051</t>
  </si>
  <si>
    <t>542029</t>
  </si>
  <si>
    <t>542062</t>
  </si>
  <si>
    <t>542068</t>
  </si>
  <si>
    <t>542073</t>
  </si>
  <si>
    <t>100/80</t>
  </si>
  <si>
    <t>542001</t>
  </si>
  <si>
    <t>542002</t>
  </si>
  <si>
    <t>542012</t>
  </si>
  <si>
    <t>542035</t>
  </si>
  <si>
    <t>542004</t>
  </si>
  <si>
    <t>542025</t>
  </si>
  <si>
    <t>542052</t>
  </si>
  <si>
    <t>542030</t>
  </si>
  <si>
    <t>542047</t>
  </si>
  <si>
    <t>542066</t>
  </si>
  <si>
    <t>542074</t>
  </si>
  <si>
    <t>100/100</t>
  </si>
  <si>
    <t>120/80</t>
  </si>
  <si>
    <t>120/100</t>
  </si>
  <si>
    <t>120/120</t>
  </si>
  <si>
    <t xml:space="preserve">542080  </t>
  </si>
  <si>
    <t xml:space="preserve">542083  </t>
  </si>
  <si>
    <t xml:space="preserve">542081  </t>
  </si>
  <si>
    <t xml:space="preserve">542085  </t>
  </si>
  <si>
    <t xml:space="preserve">542082  </t>
  </si>
  <si>
    <t xml:space="preserve">542087  </t>
  </si>
  <si>
    <t xml:space="preserve">542086  </t>
  </si>
  <si>
    <t xml:space="preserve">542084  </t>
  </si>
  <si>
    <t xml:space="preserve">542088  </t>
  </si>
  <si>
    <t xml:space="preserve">542089  </t>
  </si>
  <si>
    <t xml:space="preserve">542090  </t>
  </si>
  <si>
    <t>100/50-75</t>
  </si>
  <si>
    <t>537304</t>
  </si>
  <si>
    <t>537307</t>
  </si>
  <si>
    <t>537305</t>
  </si>
  <si>
    <t>537306</t>
  </si>
  <si>
    <t>60/115</t>
  </si>
  <si>
    <t xml:space="preserve">537300  </t>
  </si>
  <si>
    <t xml:space="preserve">537212  </t>
  </si>
  <si>
    <t xml:space="preserve">537210  </t>
  </si>
  <si>
    <t xml:space="preserve">537215  </t>
  </si>
  <si>
    <t xml:space="preserve">537211  </t>
  </si>
  <si>
    <t xml:space="preserve">537213  </t>
  </si>
  <si>
    <t xml:space="preserve">537216  </t>
  </si>
  <si>
    <t xml:space="preserve">537214  </t>
  </si>
  <si>
    <t xml:space="preserve">537248  </t>
  </si>
  <si>
    <t xml:space="preserve">537256  </t>
  </si>
  <si>
    <t xml:space="preserve">537252  </t>
  </si>
  <si>
    <t>80/115</t>
  </si>
  <si>
    <t xml:space="preserve">537301  </t>
  </si>
  <si>
    <t xml:space="preserve">537222  </t>
  </si>
  <si>
    <t xml:space="preserve">537220  </t>
  </si>
  <si>
    <t xml:space="preserve">537225  </t>
  </si>
  <si>
    <t xml:space="preserve">537221  </t>
  </si>
  <si>
    <t xml:space="preserve">537223  </t>
  </si>
  <si>
    <t xml:space="preserve">537217  </t>
  </si>
  <si>
    <t xml:space="preserve">537224  </t>
  </si>
  <si>
    <t xml:space="preserve">537227  </t>
  </si>
  <si>
    <t xml:space="preserve">537250  </t>
  </si>
  <si>
    <t xml:space="preserve">537253  </t>
  </si>
  <si>
    <t>100/115</t>
  </si>
  <si>
    <t xml:space="preserve">537302  </t>
  </si>
  <si>
    <t xml:space="preserve">537232  </t>
  </si>
  <si>
    <t xml:space="preserve">537230  </t>
  </si>
  <si>
    <t xml:space="preserve">537235  </t>
  </si>
  <si>
    <t xml:space="preserve">537231  </t>
  </si>
  <si>
    <t xml:space="preserve">537233  </t>
  </si>
  <si>
    <t xml:space="preserve">537218  </t>
  </si>
  <si>
    <t xml:space="preserve">537234  </t>
  </si>
  <si>
    <t xml:space="preserve">537237  </t>
  </si>
  <si>
    <t xml:space="preserve">537251  </t>
  </si>
  <si>
    <t xml:space="preserve">537254  </t>
  </si>
  <si>
    <t>100/150</t>
  </si>
  <si>
    <t xml:space="preserve">537303  </t>
  </si>
  <si>
    <t xml:space="preserve">537242  </t>
  </si>
  <si>
    <t xml:space="preserve">537240  </t>
  </si>
  <si>
    <t xml:space="preserve">537245  </t>
  </si>
  <si>
    <t xml:space="preserve">537241  </t>
  </si>
  <si>
    <t xml:space="preserve">537243  </t>
  </si>
  <si>
    <t xml:space="preserve">537219  </t>
  </si>
  <si>
    <t xml:space="preserve">537244  </t>
  </si>
  <si>
    <t xml:space="preserve">537249  </t>
  </si>
  <si>
    <t xml:space="preserve">537258  </t>
  </si>
  <si>
    <t xml:space="preserve">537255  </t>
  </si>
  <si>
    <t>120/150</t>
  </si>
  <si>
    <t xml:space="preserve">668110  </t>
  </si>
  <si>
    <t xml:space="preserve">668115  </t>
  </si>
  <si>
    <t xml:space="preserve">668113  </t>
  </si>
  <si>
    <t xml:space="preserve">668118  </t>
  </si>
  <si>
    <t xml:space="preserve">668114  </t>
  </si>
  <si>
    <t xml:space="preserve">668116  </t>
  </si>
  <si>
    <t xml:space="preserve">668119  </t>
  </si>
  <si>
    <t xml:space="preserve">668117  </t>
  </si>
  <si>
    <t xml:space="preserve">668121  </t>
  </si>
  <si>
    <t xml:space="preserve">668123  </t>
  </si>
  <si>
    <t xml:space="preserve">668122  </t>
  </si>
  <si>
    <t>80/1000</t>
  </si>
  <si>
    <t xml:space="preserve">668111  </t>
  </si>
  <si>
    <t xml:space="preserve">668132  </t>
  </si>
  <si>
    <t xml:space="preserve">668130  </t>
  </si>
  <si>
    <t xml:space="preserve">668135  </t>
  </si>
  <si>
    <t xml:space="preserve">668131  </t>
  </si>
  <si>
    <t xml:space="preserve">668133  </t>
  </si>
  <si>
    <t xml:space="preserve">668136  </t>
  </si>
  <si>
    <t xml:space="preserve">668134  </t>
  </si>
  <si>
    <t xml:space="preserve">668138  </t>
  </si>
  <si>
    <t xml:space="preserve">668141  </t>
  </si>
  <si>
    <t xml:space="preserve">668142  </t>
  </si>
  <si>
    <t>100/1000</t>
  </si>
  <si>
    <t xml:space="preserve">668112  </t>
  </si>
  <si>
    <t xml:space="preserve">668152  </t>
  </si>
  <si>
    <t xml:space="preserve">668150  </t>
  </si>
  <si>
    <t xml:space="preserve">668155  </t>
  </si>
  <si>
    <t xml:space="preserve">668151  </t>
  </si>
  <si>
    <t xml:space="preserve">668153  </t>
  </si>
  <si>
    <t xml:space="preserve">668156  </t>
  </si>
  <si>
    <t xml:space="preserve">668154  </t>
  </si>
  <si>
    <t xml:space="preserve">668158  </t>
  </si>
  <si>
    <t xml:space="preserve">668160  </t>
  </si>
  <si>
    <t xml:space="preserve">668159  </t>
  </si>
  <si>
    <t>120/1000</t>
  </si>
  <si>
    <t>527304</t>
  </si>
  <si>
    <t>527372</t>
  </si>
  <si>
    <t>527370</t>
  </si>
  <si>
    <t>527371</t>
  </si>
  <si>
    <t xml:space="preserve">527300  </t>
  </si>
  <si>
    <t xml:space="preserve">527312  </t>
  </si>
  <si>
    <t xml:space="preserve">527310  </t>
  </si>
  <si>
    <t xml:space="preserve">527313  </t>
  </si>
  <si>
    <t xml:space="preserve">527311  </t>
  </si>
  <si>
    <t xml:space="preserve">527317  </t>
  </si>
  <si>
    <t xml:space="preserve">527314  </t>
  </si>
  <si>
    <t xml:space="preserve">527315  </t>
  </si>
  <si>
    <t xml:space="preserve">527316  </t>
  </si>
  <si>
    <t xml:space="preserve">527318  </t>
  </si>
  <si>
    <t xml:space="preserve">527319  </t>
  </si>
  <si>
    <t xml:space="preserve">527301  </t>
  </si>
  <si>
    <t xml:space="preserve">527332  </t>
  </si>
  <si>
    <t xml:space="preserve">527330  </t>
  </si>
  <si>
    <t xml:space="preserve">527333  </t>
  </si>
  <si>
    <t xml:space="preserve">527331  </t>
  </si>
  <si>
    <t xml:space="preserve">527337  </t>
  </si>
  <si>
    <t xml:space="preserve">527334  </t>
  </si>
  <si>
    <t xml:space="preserve">527335  </t>
  </si>
  <si>
    <t xml:space="preserve">527336  </t>
  </si>
  <si>
    <t xml:space="preserve">527338  </t>
  </si>
  <si>
    <t xml:space="preserve">527339  </t>
  </si>
  <si>
    <t xml:space="preserve">527302  </t>
  </si>
  <si>
    <t xml:space="preserve">527352  </t>
  </si>
  <si>
    <t xml:space="preserve">527350  </t>
  </si>
  <si>
    <t xml:space="preserve">527354  </t>
  </si>
  <si>
    <t xml:space="preserve">527351  </t>
  </si>
  <si>
    <t xml:space="preserve">527356  </t>
  </si>
  <si>
    <t xml:space="preserve">527355  </t>
  </si>
  <si>
    <t xml:space="preserve">527353  </t>
  </si>
  <si>
    <t xml:space="preserve">527357  </t>
  </si>
  <si>
    <t xml:space="preserve">527358  </t>
  </si>
  <si>
    <t xml:space="preserve">527359  </t>
  </si>
  <si>
    <t>521303</t>
  </si>
  <si>
    <t>537320</t>
  </si>
  <si>
    <t>537321</t>
  </si>
  <si>
    <t>537323</t>
  </si>
  <si>
    <t>537340</t>
  </si>
  <si>
    <t>537341</t>
  </si>
  <si>
    <t>537343</t>
  </si>
  <si>
    <t>537360</t>
  </si>
  <si>
    <t>537370</t>
  </si>
  <si>
    <t>Ø110</t>
  </si>
  <si>
    <t>537371</t>
  </si>
  <si>
    <t>Ø125</t>
  </si>
  <si>
    <t xml:space="preserve">668103  </t>
  </si>
  <si>
    <t xml:space="preserve">668302  </t>
  </si>
  <si>
    <t xml:space="preserve">668300  </t>
  </si>
  <si>
    <t xml:space="preserve">668304  </t>
  </si>
  <si>
    <t xml:space="preserve">668301  </t>
  </si>
  <si>
    <t xml:space="preserve">668303  </t>
  </si>
  <si>
    <t xml:space="preserve">668307  </t>
  </si>
  <si>
    <t xml:space="preserve">668306  </t>
  </si>
  <si>
    <t xml:space="preserve">668305  </t>
  </si>
  <si>
    <t xml:space="preserve">668309  </t>
  </si>
  <si>
    <t xml:space="preserve">668308  </t>
  </si>
  <si>
    <t xml:space="preserve">668104  </t>
  </si>
  <si>
    <t xml:space="preserve">668322  </t>
  </si>
  <si>
    <t xml:space="preserve">668320  </t>
  </si>
  <si>
    <t xml:space="preserve">668324  </t>
  </si>
  <si>
    <t xml:space="preserve">668321  </t>
  </si>
  <si>
    <t xml:space="preserve">668323  </t>
  </si>
  <si>
    <t xml:space="preserve">668327  </t>
  </si>
  <si>
    <t xml:space="preserve">668326  </t>
  </si>
  <si>
    <t xml:space="preserve">668325  </t>
  </si>
  <si>
    <t xml:space="preserve">668329  </t>
  </si>
  <si>
    <t xml:space="preserve">668328  </t>
  </si>
  <si>
    <t xml:space="preserve">668105  </t>
  </si>
  <si>
    <t xml:space="preserve">668342  </t>
  </si>
  <si>
    <t xml:space="preserve">668340  </t>
  </si>
  <si>
    <t xml:space="preserve">668344  </t>
  </si>
  <si>
    <t xml:space="preserve">668341  </t>
  </si>
  <si>
    <t xml:space="preserve">668343  </t>
  </si>
  <si>
    <t xml:space="preserve">668347  </t>
  </si>
  <si>
    <t xml:space="preserve">668346  </t>
  </si>
  <si>
    <t xml:space="preserve">668345  </t>
  </si>
  <si>
    <t xml:space="preserve">668349  </t>
  </si>
  <si>
    <t xml:space="preserve">668348  </t>
  </si>
  <si>
    <t xml:space="preserve">550005  </t>
  </si>
  <si>
    <t xml:space="preserve">550102  </t>
  </si>
  <si>
    <t xml:space="preserve">550100  </t>
  </si>
  <si>
    <t xml:space="preserve">550104  </t>
  </si>
  <si>
    <t xml:space="preserve">550101  </t>
  </si>
  <si>
    <t xml:space="preserve">550106  </t>
  </si>
  <si>
    <t xml:space="preserve">550105  </t>
  </si>
  <si>
    <t xml:space="preserve">550103  </t>
  </si>
  <si>
    <t xml:space="preserve">550107  </t>
  </si>
  <si>
    <t xml:space="preserve">550108  </t>
  </si>
  <si>
    <t xml:space="preserve">550109  </t>
  </si>
  <si>
    <t xml:space="preserve">550006  </t>
  </si>
  <si>
    <t xml:space="preserve">550122  </t>
  </si>
  <si>
    <t xml:space="preserve">550120  </t>
  </si>
  <si>
    <t xml:space="preserve">550124  </t>
  </si>
  <si>
    <t xml:space="preserve">550121  </t>
  </si>
  <si>
    <t xml:space="preserve">550126  </t>
  </si>
  <si>
    <t xml:space="preserve">550125  </t>
  </si>
  <si>
    <t xml:space="preserve">550123  </t>
  </si>
  <si>
    <t xml:space="preserve">550127  </t>
  </si>
  <si>
    <t xml:space="preserve">550128  </t>
  </si>
  <si>
    <t xml:space="preserve">550129  </t>
  </si>
  <si>
    <t xml:space="preserve">550007  </t>
  </si>
  <si>
    <t xml:space="preserve">550142  </t>
  </si>
  <si>
    <t xml:space="preserve">550140  </t>
  </si>
  <si>
    <t xml:space="preserve">550144  </t>
  </si>
  <si>
    <t xml:space="preserve">550141  </t>
  </si>
  <si>
    <t xml:space="preserve">550146  </t>
  </si>
  <si>
    <t xml:space="preserve">550145  </t>
  </si>
  <si>
    <t xml:space="preserve">550143  </t>
  </si>
  <si>
    <t xml:space="preserve">550147  </t>
  </si>
  <si>
    <t xml:space="preserve">550148  </t>
  </si>
  <si>
    <t xml:space="preserve">550149  </t>
  </si>
  <si>
    <t>550008</t>
  </si>
  <si>
    <t>550162</t>
  </si>
  <si>
    <t>550160</t>
  </si>
  <si>
    <t>550161</t>
  </si>
  <si>
    <t>550009</t>
  </si>
  <si>
    <t>550222</t>
  </si>
  <si>
    <t>550220</t>
  </si>
  <si>
    <t>550221</t>
  </si>
  <si>
    <t xml:space="preserve">553010  </t>
  </si>
  <si>
    <t xml:space="preserve">553013  </t>
  </si>
  <si>
    <t xml:space="preserve">553011  </t>
  </si>
  <si>
    <t xml:space="preserve">553014  </t>
  </si>
  <si>
    <t xml:space="preserve">553012  </t>
  </si>
  <si>
    <t xml:space="preserve">553018  </t>
  </si>
  <si>
    <t xml:space="preserve">553015  </t>
  </si>
  <si>
    <t xml:space="preserve">553016  </t>
  </si>
  <si>
    <t xml:space="preserve">553017  </t>
  </si>
  <si>
    <t xml:space="preserve">553019  </t>
  </si>
  <si>
    <t xml:space="preserve">553020  </t>
  </si>
  <si>
    <t>553030</t>
  </si>
  <si>
    <t>553032</t>
  </si>
  <si>
    <t>553038</t>
  </si>
  <si>
    <t>553050</t>
  </si>
  <si>
    <t xml:space="preserve">533001  </t>
  </si>
  <si>
    <t xml:space="preserve">533009  </t>
  </si>
  <si>
    <t xml:space="preserve">533003  </t>
  </si>
  <si>
    <t xml:space="preserve">533008  </t>
  </si>
  <si>
    <t xml:space="preserve">533004  </t>
  </si>
  <si>
    <t xml:space="preserve">533007  </t>
  </si>
  <si>
    <t xml:space="preserve">533016  </t>
  </si>
  <si>
    <t xml:space="preserve">533010  </t>
  </si>
  <si>
    <t xml:space="preserve">533014  </t>
  </si>
  <si>
    <t xml:space="preserve">533017  </t>
  </si>
  <si>
    <t xml:space="preserve">533025  </t>
  </si>
  <si>
    <t>4mm</t>
  </si>
  <si>
    <t xml:space="preserve">533002  </t>
  </si>
  <si>
    <t>4,8mm</t>
  </si>
  <si>
    <t xml:space="preserve">667020  </t>
  </si>
  <si>
    <t xml:space="preserve">667004  </t>
  </si>
  <si>
    <t xml:space="preserve">667002  </t>
  </si>
  <si>
    <t xml:space="preserve">667007  </t>
  </si>
  <si>
    <t xml:space="preserve">667003  </t>
  </si>
  <si>
    <t xml:space="preserve">667005  </t>
  </si>
  <si>
    <t xml:space="preserve">667012  </t>
  </si>
  <si>
    <t xml:space="preserve">667006  </t>
  </si>
  <si>
    <t xml:space="preserve">667009  </t>
  </si>
  <si>
    <t xml:space="preserve">667013  </t>
  </si>
  <si>
    <t xml:space="preserve">667014  </t>
  </si>
  <si>
    <t>5mm</t>
  </si>
  <si>
    <t xml:space="preserve">430019  </t>
  </si>
  <si>
    <t xml:space="preserve">430020  </t>
  </si>
  <si>
    <t xml:space="preserve">430007  </t>
  </si>
  <si>
    <t xml:space="preserve">430022  </t>
  </si>
  <si>
    <t xml:space="preserve">430008  </t>
  </si>
  <si>
    <t xml:space="preserve">430021  </t>
  </si>
  <si>
    <t xml:space="preserve">430115  </t>
  </si>
  <si>
    <t xml:space="preserve">430027  </t>
  </si>
  <si>
    <t xml:space="preserve">430031  </t>
  </si>
  <si>
    <t>0,75l</t>
  </si>
  <si>
    <t xml:space="preserve">430140  </t>
  </si>
  <si>
    <t xml:space="preserve">430141  </t>
  </si>
  <si>
    <t>50ml</t>
  </si>
  <si>
    <t>547057   547010</t>
  </si>
  <si>
    <t>547052   547010</t>
  </si>
  <si>
    <t>547050   547010</t>
  </si>
  <si>
    <t>547055   547010</t>
  </si>
  <si>
    <t>547051   547010</t>
  </si>
  <si>
    <t>547053   547010</t>
  </si>
  <si>
    <t>547056   547010</t>
  </si>
  <si>
    <t>547054   547010</t>
  </si>
  <si>
    <t>547049   547010</t>
  </si>
  <si>
    <t>547016   547010</t>
  </si>
  <si>
    <t>547019   547010</t>
  </si>
  <si>
    <t>547012   547010</t>
  </si>
  <si>
    <t>blende 25er</t>
  </si>
  <si>
    <t>547047  547002</t>
  </si>
  <si>
    <t>547042  547002</t>
  </si>
  <si>
    <t>547040  547002</t>
  </si>
  <si>
    <t>547045  547002</t>
  </si>
  <si>
    <t>547041  547002</t>
  </si>
  <si>
    <t>547043  547002</t>
  </si>
  <si>
    <t>547046  547002</t>
  </si>
  <si>
    <t>547044  547002</t>
  </si>
  <si>
    <t>547048  547002</t>
  </si>
  <si>
    <t>547015  547002</t>
  </si>
  <si>
    <t>547017  547002</t>
  </si>
  <si>
    <t>547013  547002</t>
  </si>
  <si>
    <t>blende 28er</t>
  </si>
  <si>
    <t>547031  547001</t>
  </si>
  <si>
    <t>547022  547001</t>
  </si>
  <si>
    <t>547020  547001</t>
  </si>
  <si>
    <t>547024  547001</t>
  </si>
  <si>
    <t>547021  547001</t>
  </si>
  <si>
    <t>547025  547001</t>
  </si>
  <si>
    <t>547030  547001</t>
  </si>
  <si>
    <t>547023  547001</t>
  </si>
  <si>
    <t>547028  547001</t>
  </si>
  <si>
    <t>547032  547001</t>
  </si>
  <si>
    <t>547018  547001</t>
  </si>
  <si>
    <t>547014  547001</t>
  </si>
  <si>
    <t>blende 33er</t>
  </si>
  <si>
    <t>547038  547003</t>
  </si>
  <si>
    <t>547037  547003</t>
  </si>
  <si>
    <t>547035  547003</t>
  </si>
  <si>
    <t>547036  547003</t>
  </si>
  <si>
    <t>547092  547003</t>
  </si>
  <si>
    <t>547090  547003</t>
  </si>
  <si>
    <t>547093  547003</t>
  </si>
  <si>
    <t>547091  547003</t>
  </si>
  <si>
    <t>blende 40er</t>
  </si>
  <si>
    <t xml:space="preserve">547011  547083  </t>
  </si>
  <si>
    <t xml:space="preserve">547011  547082  </t>
  </si>
  <si>
    <t xml:space="preserve">547011  547080  </t>
  </si>
  <si>
    <t xml:space="preserve">547011  547081  </t>
  </si>
  <si>
    <t>547011  547087</t>
  </si>
  <si>
    <t>547011  547088</t>
  </si>
  <si>
    <t xml:space="preserve">547008 547066  </t>
  </si>
  <si>
    <t xml:space="preserve">547008 547062  </t>
  </si>
  <si>
    <t xml:space="preserve">547008 547060  </t>
  </si>
  <si>
    <t xml:space="preserve">547008 547065  </t>
  </si>
  <si>
    <t xml:space="preserve">547008 547061  </t>
  </si>
  <si>
    <t xml:space="preserve">547008 547063  </t>
  </si>
  <si>
    <t xml:space="preserve">547008 547067  </t>
  </si>
  <si>
    <t xml:space="preserve">547008 547064  </t>
  </si>
  <si>
    <t xml:space="preserve">547008 547068  </t>
  </si>
  <si>
    <t xml:space="preserve">547008 547085  </t>
  </si>
  <si>
    <t xml:space="preserve">547008 547069  </t>
  </si>
  <si>
    <t xml:space="preserve">547008 547086  </t>
  </si>
  <si>
    <t xml:space="preserve">547009 547073  </t>
  </si>
  <si>
    <t xml:space="preserve">547009 547072  </t>
  </si>
  <si>
    <t xml:space="preserve">547009 547070  </t>
  </si>
  <si>
    <t xml:space="preserve">547009 547071  </t>
  </si>
  <si>
    <t>547009 547097</t>
  </si>
  <si>
    <t>547009 547095</t>
  </si>
  <si>
    <t>547009 547098</t>
  </si>
  <si>
    <t>547009 547096</t>
  </si>
  <si>
    <t>547102</t>
  </si>
  <si>
    <t>dila 25er</t>
  </si>
  <si>
    <t>547101</t>
  </si>
  <si>
    <t>dila 28er</t>
  </si>
  <si>
    <t>547100</t>
  </si>
  <si>
    <t>dila 33er</t>
  </si>
  <si>
    <t>547103</t>
  </si>
  <si>
    <t>dila 40er</t>
  </si>
  <si>
    <t>547106</t>
  </si>
  <si>
    <t>547105</t>
  </si>
  <si>
    <t>547104</t>
  </si>
  <si>
    <t>430152</t>
  </si>
  <si>
    <t>430151</t>
  </si>
  <si>
    <t>430157</t>
  </si>
  <si>
    <t>430156</t>
  </si>
  <si>
    <t>430202</t>
  </si>
  <si>
    <t>430201</t>
  </si>
  <si>
    <t>430200</t>
  </si>
  <si>
    <t>430207</t>
  </si>
  <si>
    <t>430211</t>
  </si>
  <si>
    <t>02 anthrazit</t>
  </si>
  <si>
    <t>19 dunkelgrau</t>
  </si>
  <si>
    <t>210021</t>
  </si>
  <si>
    <t>210020</t>
  </si>
  <si>
    <t>210024</t>
  </si>
  <si>
    <t>210022</t>
  </si>
  <si>
    <t>210025</t>
  </si>
  <si>
    <t>210026</t>
  </si>
  <si>
    <t>210023</t>
  </si>
  <si>
    <t>210061</t>
  </si>
  <si>
    <t>210060</t>
  </si>
  <si>
    <t>210064</t>
  </si>
  <si>
    <t>210062</t>
  </si>
  <si>
    <t>210065</t>
  </si>
  <si>
    <t>210066</t>
  </si>
  <si>
    <t>210063</t>
  </si>
  <si>
    <t>210101</t>
  </si>
  <si>
    <t>210104</t>
  </si>
  <si>
    <t>210102</t>
  </si>
  <si>
    <t>210105</t>
  </si>
  <si>
    <t>210106</t>
  </si>
  <si>
    <t>210103</t>
  </si>
  <si>
    <t>210141</t>
  </si>
  <si>
    <t>210140</t>
  </si>
  <si>
    <t>210144</t>
  </si>
  <si>
    <t>210142</t>
  </si>
  <si>
    <t>210145</t>
  </si>
  <si>
    <t>210146</t>
  </si>
  <si>
    <t>210143</t>
  </si>
  <si>
    <t>210001</t>
  </si>
  <si>
    <t>210000</t>
  </si>
  <si>
    <t>210004</t>
  </si>
  <si>
    <t>210002</t>
  </si>
  <si>
    <t>210005</t>
  </si>
  <si>
    <t>210006</t>
  </si>
  <si>
    <t>210003</t>
  </si>
  <si>
    <t>210041</t>
  </si>
  <si>
    <t>210040</t>
  </si>
  <si>
    <t>210044</t>
  </si>
  <si>
    <t>210042</t>
  </si>
  <si>
    <t>210045</t>
  </si>
  <si>
    <t>210046</t>
  </si>
  <si>
    <t>210043</t>
  </si>
  <si>
    <t>210081</t>
  </si>
  <si>
    <t>210080</t>
  </si>
  <si>
    <t>210084</t>
  </si>
  <si>
    <t>210082</t>
  </si>
  <si>
    <t>210085</t>
  </si>
  <si>
    <t>210086</t>
  </si>
  <si>
    <t>210083</t>
  </si>
  <si>
    <t>210121</t>
  </si>
  <si>
    <t>210120</t>
  </si>
  <si>
    <t>210124</t>
  </si>
  <si>
    <t>210122</t>
  </si>
  <si>
    <t>210125</t>
  </si>
  <si>
    <t>210126</t>
  </si>
  <si>
    <t>210123</t>
  </si>
  <si>
    <t>201501</t>
  </si>
  <si>
    <t>201500</t>
  </si>
  <si>
    <t>201504</t>
  </si>
  <si>
    <t>201502</t>
  </si>
  <si>
    <t>201505</t>
  </si>
  <si>
    <t>201506</t>
  </si>
  <si>
    <t>201503</t>
  </si>
  <si>
    <t>201521</t>
  </si>
  <si>
    <t>201520</t>
  </si>
  <si>
    <t>201524</t>
  </si>
  <si>
    <t>201522</t>
  </si>
  <si>
    <t>201525</t>
  </si>
  <si>
    <t>201526</t>
  </si>
  <si>
    <t>201523</t>
  </si>
  <si>
    <t>201601</t>
  </si>
  <si>
    <t>201600</t>
  </si>
  <si>
    <t>201604</t>
  </si>
  <si>
    <t>201602</t>
  </si>
  <si>
    <t>201605</t>
  </si>
  <si>
    <t>201606</t>
  </si>
  <si>
    <t>201603</t>
  </si>
  <si>
    <t>201621</t>
  </si>
  <si>
    <t>201620</t>
  </si>
  <si>
    <t>201624</t>
  </si>
  <si>
    <t>201622</t>
  </si>
  <si>
    <t>201625</t>
  </si>
  <si>
    <t>201626</t>
  </si>
  <si>
    <t>201623</t>
  </si>
  <si>
    <t>201641</t>
  </si>
  <si>
    <t>201640</t>
  </si>
  <si>
    <t>201644</t>
  </si>
  <si>
    <t>201642</t>
  </si>
  <si>
    <t>201645</t>
  </si>
  <si>
    <t>201646</t>
  </si>
  <si>
    <t>201643</t>
  </si>
  <si>
    <t>201701</t>
  </si>
  <si>
    <t>201700</t>
  </si>
  <si>
    <t>201704</t>
  </si>
  <si>
    <t>201702</t>
  </si>
  <si>
    <t>201705</t>
  </si>
  <si>
    <t>201706</t>
  </si>
  <si>
    <t>201703</t>
  </si>
  <si>
    <t>201741</t>
  </si>
  <si>
    <t>201740</t>
  </si>
  <si>
    <t>201744</t>
  </si>
  <si>
    <t>201742</t>
  </si>
  <si>
    <t>201745</t>
  </si>
  <si>
    <t>201746</t>
  </si>
  <si>
    <t>201743</t>
  </si>
  <si>
    <t>201901</t>
  </si>
  <si>
    <t>201900</t>
  </si>
  <si>
    <t>201904</t>
  </si>
  <si>
    <t>201902</t>
  </si>
  <si>
    <t>201905</t>
  </si>
  <si>
    <t>201906</t>
  </si>
  <si>
    <t>201903</t>
  </si>
  <si>
    <t>201541</t>
  </si>
  <si>
    <t>201540</t>
  </si>
  <si>
    <t>201544</t>
  </si>
  <si>
    <t>201542</t>
  </si>
  <si>
    <t>201545</t>
  </si>
  <si>
    <t>201546</t>
  </si>
  <si>
    <t>201543</t>
  </si>
  <si>
    <t>201661</t>
  </si>
  <si>
    <t>201660</t>
  </si>
  <si>
    <t>201664</t>
  </si>
  <si>
    <t>201662</t>
  </si>
  <si>
    <t>201665</t>
  </si>
  <si>
    <t>201666</t>
  </si>
  <si>
    <t>201663</t>
  </si>
  <si>
    <t>201761</t>
  </si>
  <si>
    <t>201760</t>
  </si>
  <si>
    <t>201762</t>
  </si>
  <si>
    <t>201765</t>
  </si>
  <si>
    <t>201766</t>
  </si>
  <si>
    <t>201763</t>
  </si>
  <si>
    <t>201781</t>
  </si>
  <si>
    <t>201780</t>
  </si>
  <si>
    <t>201784</t>
  </si>
  <si>
    <t>201782</t>
  </si>
  <si>
    <t>2017585</t>
  </si>
  <si>
    <t>201786</t>
  </si>
  <si>
    <t>201783</t>
  </si>
  <si>
    <t>201801</t>
  </si>
  <si>
    <t>201800</t>
  </si>
  <si>
    <t>201804</t>
  </si>
  <si>
    <t>201802</t>
  </si>
  <si>
    <t>201805</t>
  </si>
  <si>
    <t>201806</t>
  </si>
  <si>
    <t>201803</t>
  </si>
  <si>
    <t>201921</t>
  </si>
  <si>
    <t>201920</t>
  </si>
  <si>
    <t>201924</t>
  </si>
  <si>
    <t>201922</t>
  </si>
  <si>
    <t>201925</t>
  </si>
  <si>
    <t>201926</t>
  </si>
  <si>
    <t>201923</t>
  </si>
  <si>
    <t>201821</t>
  </si>
  <si>
    <t>201820</t>
  </si>
  <si>
    <t>201824</t>
  </si>
  <si>
    <t>201822</t>
  </si>
  <si>
    <t>201825</t>
  </si>
  <si>
    <t>201826</t>
  </si>
  <si>
    <t>201823</t>
  </si>
  <si>
    <t>200001</t>
  </si>
  <si>
    <t>200000</t>
  </si>
  <si>
    <t>200004</t>
  </si>
  <si>
    <t>200002</t>
  </si>
  <si>
    <t>200005</t>
  </si>
  <si>
    <t>200006</t>
  </si>
  <si>
    <t>200003</t>
  </si>
  <si>
    <t>200021</t>
  </si>
  <si>
    <t>200020</t>
  </si>
  <si>
    <t>200024</t>
  </si>
  <si>
    <t>200022</t>
  </si>
  <si>
    <t>200026</t>
  </si>
  <si>
    <t>200023</t>
  </si>
  <si>
    <t>200041</t>
  </si>
  <si>
    <t>200040</t>
  </si>
  <si>
    <t>200044</t>
  </si>
  <si>
    <t>200042</t>
  </si>
  <si>
    <t>200045</t>
  </si>
  <si>
    <t>200046</t>
  </si>
  <si>
    <t>200043</t>
  </si>
  <si>
    <t>200061</t>
  </si>
  <si>
    <t>200060</t>
  </si>
  <si>
    <t>200064</t>
  </si>
  <si>
    <t>200062</t>
  </si>
  <si>
    <t>200065</t>
  </si>
  <si>
    <t>200066</t>
  </si>
  <si>
    <t>200063</t>
  </si>
  <si>
    <t>200201</t>
  </si>
  <si>
    <t>200200</t>
  </si>
  <si>
    <t>200204</t>
  </si>
  <si>
    <t>200202</t>
  </si>
  <si>
    <t>200205</t>
  </si>
  <si>
    <t>200206</t>
  </si>
  <si>
    <t>200203</t>
  </si>
  <si>
    <t>200301</t>
  </si>
  <si>
    <t>200300</t>
  </si>
  <si>
    <t>200304</t>
  </si>
  <si>
    <t>200302</t>
  </si>
  <si>
    <t>200305</t>
  </si>
  <si>
    <t>200306</t>
  </si>
  <si>
    <t>200303</t>
  </si>
  <si>
    <t>200341</t>
  </si>
  <si>
    <t>200340</t>
  </si>
  <si>
    <t>200344</t>
  </si>
  <si>
    <t>200342</t>
  </si>
  <si>
    <t>200345</t>
  </si>
  <si>
    <t>200346</t>
  </si>
  <si>
    <t>200343</t>
  </si>
  <si>
    <t>200381</t>
  </si>
  <si>
    <t>200380</t>
  </si>
  <si>
    <t>200384</t>
  </si>
  <si>
    <t>200382</t>
  </si>
  <si>
    <t>200385</t>
  </si>
  <si>
    <t>200386</t>
  </si>
  <si>
    <t>200383</t>
  </si>
  <si>
    <t>200421</t>
  </si>
  <si>
    <t>200420</t>
  </si>
  <si>
    <t>200424</t>
  </si>
  <si>
    <t>200422</t>
  </si>
  <si>
    <t>200425</t>
  </si>
  <si>
    <t>200426</t>
  </si>
  <si>
    <t>200423</t>
  </si>
  <si>
    <t>200321</t>
  </si>
  <si>
    <t>200320</t>
  </si>
  <si>
    <t>200324</t>
  </si>
  <si>
    <t>200322</t>
  </si>
  <si>
    <t>200325</t>
  </si>
  <si>
    <t>200326</t>
  </si>
  <si>
    <t>200323</t>
  </si>
  <si>
    <t>200361</t>
  </si>
  <si>
    <t>200360</t>
  </si>
  <si>
    <t>200364</t>
  </si>
  <si>
    <t>200362</t>
  </si>
  <si>
    <t>200365</t>
  </si>
  <si>
    <t>200366</t>
  </si>
  <si>
    <t>200363</t>
  </si>
  <si>
    <t>200401</t>
  </si>
  <si>
    <t>200400</t>
  </si>
  <si>
    <t>200404</t>
  </si>
  <si>
    <t>200402</t>
  </si>
  <si>
    <t>200405</t>
  </si>
  <si>
    <t>200406</t>
  </si>
  <si>
    <t>200403</t>
  </si>
  <si>
    <t>200441</t>
  </si>
  <si>
    <t>200440</t>
  </si>
  <si>
    <t>200444</t>
  </si>
  <si>
    <t>200442</t>
  </si>
  <si>
    <t>200445</t>
  </si>
  <si>
    <t>200446</t>
  </si>
  <si>
    <t>200443</t>
  </si>
  <si>
    <t>200701</t>
  </si>
  <si>
    <t>200700</t>
  </si>
  <si>
    <t>200704</t>
  </si>
  <si>
    <t>200702</t>
  </si>
  <si>
    <t>200705</t>
  </si>
  <si>
    <t>200706</t>
  </si>
  <si>
    <t>200703</t>
  </si>
  <si>
    <t>200721</t>
  </si>
  <si>
    <t>200720</t>
  </si>
  <si>
    <t>200724</t>
  </si>
  <si>
    <t>200722</t>
  </si>
  <si>
    <t>200725</t>
  </si>
  <si>
    <t>200726</t>
  </si>
  <si>
    <t>200723</t>
  </si>
  <si>
    <t>200741</t>
  </si>
  <si>
    <t>200740</t>
  </si>
  <si>
    <t>200744</t>
  </si>
  <si>
    <t>200742</t>
  </si>
  <si>
    <t>200745</t>
  </si>
  <si>
    <t>200746</t>
  </si>
  <si>
    <t>200743</t>
  </si>
  <si>
    <t>200761</t>
  </si>
  <si>
    <t>200760</t>
  </si>
  <si>
    <t>200764</t>
  </si>
  <si>
    <t>200762</t>
  </si>
  <si>
    <t>200765</t>
  </si>
  <si>
    <t>200766</t>
  </si>
  <si>
    <t>200763</t>
  </si>
  <si>
    <t>200781</t>
  </si>
  <si>
    <t>200780</t>
  </si>
  <si>
    <t>200784</t>
  </si>
  <si>
    <t>200782</t>
  </si>
  <si>
    <t>200785</t>
  </si>
  <si>
    <t>200786</t>
  </si>
  <si>
    <t>200783</t>
  </si>
  <si>
    <t>200801</t>
  </si>
  <si>
    <t>200800</t>
  </si>
  <si>
    <t>200804</t>
  </si>
  <si>
    <t>200802</t>
  </si>
  <si>
    <t>200805</t>
  </si>
  <si>
    <t>200806</t>
  </si>
  <si>
    <t>200803</t>
  </si>
  <si>
    <t>200821</t>
  </si>
  <si>
    <t>200820</t>
  </si>
  <si>
    <t>200824</t>
  </si>
  <si>
    <t>200822</t>
  </si>
  <si>
    <t>200825</t>
  </si>
  <si>
    <t>200826</t>
  </si>
  <si>
    <t>200823</t>
  </si>
  <si>
    <t>200841</t>
  </si>
  <si>
    <t>200840</t>
  </si>
  <si>
    <t>200844</t>
  </si>
  <si>
    <t>200842</t>
  </si>
  <si>
    <t>200845</t>
  </si>
  <si>
    <t>200846</t>
  </si>
  <si>
    <t>200843</t>
  </si>
  <si>
    <t>201321</t>
  </si>
  <si>
    <t>201320</t>
  </si>
  <si>
    <t>201324</t>
  </si>
  <si>
    <t>201322</t>
  </si>
  <si>
    <t>201325</t>
  </si>
  <si>
    <t>201326</t>
  </si>
  <si>
    <t>201323</t>
  </si>
  <si>
    <t>201341</t>
  </si>
  <si>
    <t>201340</t>
  </si>
  <si>
    <t>201344</t>
  </si>
  <si>
    <t>201342</t>
  </si>
  <si>
    <t>201345</t>
  </si>
  <si>
    <t>201346</t>
  </si>
  <si>
    <t>201343</t>
  </si>
  <si>
    <t>201361</t>
  </si>
  <si>
    <t>201360</t>
  </si>
  <si>
    <t>201364</t>
  </si>
  <si>
    <t>201362</t>
  </si>
  <si>
    <t>201365</t>
  </si>
  <si>
    <t>201366</t>
  </si>
  <si>
    <t>201363</t>
  </si>
  <si>
    <t>204001</t>
  </si>
  <si>
    <t>204000</t>
  </si>
  <si>
    <t>204004</t>
  </si>
  <si>
    <t>204002</t>
  </si>
  <si>
    <t>204005</t>
  </si>
  <si>
    <t>204006</t>
  </si>
  <si>
    <t>204003</t>
  </si>
  <si>
    <t>211021</t>
  </si>
  <si>
    <t>211020</t>
  </si>
  <si>
    <t>211024</t>
  </si>
  <si>
    <t>211022</t>
  </si>
  <si>
    <t>211025</t>
  </si>
  <si>
    <t>211026</t>
  </si>
  <si>
    <t>211023</t>
  </si>
  <si>
    <t>211061</t>
  </si>
  <si>
    <t>211060</t>
  </si>
  <si>
    <t>211064</t>
  </si>
  <si>
    <t>211062</t>
  </si>
  <si>
    <t>211065</t>
  </si>
  <si>
    <t>211066</t>
  </si>
  <si>
    <t>211063</t>
  </si>
  <si>
    <t>211101</t>
  </si>
  <si>
    <t>211100</t>
  </si>
  <si>
    <t>211104</t>
  </si>
  <si>
    <t>211102</t>
  </si>
  <si>
    <t>211105</t>
  </si>
  <si>
    <t>211106</t>
  </si>
  <si>
    <t>211103</t>
  </si>
  <si>
    <t>211001</t>
  </si>
  <si>
    <t>211000</t>
  </si>
  <si>
    <t>211004</t>
  </si>
  <si>
    <t>211002</t>
  </si>
  <si>
    <t>211005</t>
  </si>
  <si>
    <t>211006</t>
  </si>
  <si>
    <t>211003</t>
  </si>
  <si>
    <t>211041</t>
  </si>
  <si>
    <t>211040</t>
  </si>
  <si>
    <t>211044</t>
  </si>
  <si>
    <t>211042</t>
  </si>
  <si>
    <t>211045</t>
  </si>
  <si>
    <t>211046</t>
  </si>
  <si>
    <t>211043</t>
  </si>
  <si>
    <t>211081</t>
  </si>
  <si>
    <t>211080</t>
  </si>
  <si>
    <t>211082</t>
  </si>
  <si>
    <t>211085</t>
  </si>
  <si>
    <t>211086</t>
  </si>
  <si>
    <t>211083</t>
  </si>
  <si>
    <t>202021</t>
  </si>
  <si>
    <t>202020</t>
  </si>
  <si>
    <t>202024</t>
  </si>
  <si>
    <t>202022</t>
  </si>
  <si>
    <t>202025</t>
  </si>
  <si>
    <t>202026</t>
  </si>
  <si>
    <t>202023</t>
  </si>
  <si>
    <t>202101</t>
  </si>
  <si>
    <t>202100</t>
  </si>
  <si>
    <t>202104</t>
  </si>
  <si>
    <t>202102</t>
  </si>
  <si>
    <t>202105</t>
  </si>
  <si>
    <t>202106</t>
  </si>
  <si>
    <t>202103</t>
  </si>
  <si>
    <t>202201</t>
  </si>
  <si>
    <t>202200</t>
  </si>
  <si>
    <t>202204</t>
  </si>
  <si>
    <t>202202</t>
  </si>
  <si>
    <t>202205</t>
  </si>
  <si>
    <t>202206</t>
  </si>
  <si>
    <t>202203</t>
  </si>
  <si>
    <t>202041</t>
  </si>
  <si>
    <t>202040</t>
  </si>
  <si>
    <t>202044</t>
  </si>
  <si>
    <t>202042</t>
  </si>
  <si>
    <t>202045</t>
  </si>
  <si>
    <t>202046</t>
  </si>
  <si>
    <t>202043</t>
  </si>
  <si>
    <t>202121</t>
  </si>
  <si>
    <t>202120</t>
  </si>
  <si>
    <t>202124</t>
  </si>
  <si>
    <t>202122</t>
  </si>
  <si>
    <t>202125</t>
  </si>
  <si>
    <t>202126</t>
  </si>
  <si>
    <t>202123</t>
  </si>
  <si>
    <t>200101</t>
  </si>
  <si>
    <t>200100</t>
  </si>
  <si>
    <t>200104</t>
  </si>
  <si>
    <t>200102</t>
  </si>
  <si>
    <t>200105</t>
  </si>
  <si>
    <t>200106</t>
  </si>
  <si>
    <t>200103</t>
  </si>
  <si>
    <t>200121</t>
  </si>
  <si>
    <t>200120</t>
  </si>
  <si>
    <t>200124</t>
  </si>
  <si>
    <t>200122</t>
  </si>
  <si>
    <t>200125</t>
  </si>
  <si>
    <t>200136</t>
  </si>
  <si>
    <t>200123</t>
  </si>
  <si>
    <t>200141</t>
  </si>
  <si>
    <t>200140</t>
  </si>
  <si>
    <t>200144</t>
  </si>
  <si>
    <t>200142</t>
  </si>
  <si>
    <t>200145</t>
  </si>
  <si>
    <t>200146</t>
  </si>
  <si>
    <t>200143</t>
  </si>
  <si>
    <t>200501</t>
  </si>
  <si>
    <t>200500</t>
  </si>
  <si>
    <t>200504</t>
  </si>
  <si>
    <t>200502</t>
  </si>
  <si>
    <t>200505</t>
  </si>
  <si>
    <t>200506</t>
  </si>
  <si>
    <t>200503</t>
  </si>
  <si>
    <t>200541</t>
  </si>
  <si>
    <t>200540</t>
  </si>
  <si>
    <t>200544</t>
  </si>
  <si>
    <t>200542</t>
  </si>
  <si>
    <t>200545</t>
  </si>
  <si>
    <t>200546</t>
  </si>
  <si>
    <t>200543</t>
  </si>
  <si>
    <t>200581</t>
  </si>
  <si>
    <t>200580</t>
  </si>
  <si>
    <t>200584</t>
  </si>
  <si>
    <t>200582</t>
  </si>
  <si>
    <t>200585</t>
  </si>
  <si>
    <t>200586</t>
  </si>
  <si>
    <t>200583</t>
  </si>
  <si>
    <t>200521</t>
  </si>
  <si>
    <t>200520</t>
  </si>
  <si>
    <t>200524</t>
  </si>
  <si>
    <t>200522</t>
  </si>
  <si>
    <t>200525</t>
  </si>
  <si>
    <t>200526</t>
  </si>
  <si>
    <t>200523</t>
  </si>
  <si>
    <t>200561</t>
  </si>
  <si>
    <t>200560</t>
  </si>
  <si>
    <t>200564</t>
  </si>
  <si>
    <t>200562</t>
  </si>
  <si>
    <t>200565</t>
  </si>
  <si>
    <t>200566</t>
  </si>
  <si>
    <t>200563</t>
  </si>
  <si>
    <t>200601</t>
  </si>
  <si>
    <t>200600</t>
  </si>
  <si>
    <t>200604</t>
  </si>
  <si>
    <t>200602</t>
  </si>
  <si>
    <t>200605</t>
  </si>
  <si>
    <t>200606</t>
  </si>
  <si>
    <t>200603</t>
  </si>
  <si>
    <t>200901</t>
  </si>
  <si>
    <t>200900</t>
  </si>
  <si>
    <t>200904</t>
  </si>
  <si>
    <t>200902</t>
  </si>
  <si>
    <t>200905</t>
  </si>
  <si>
    <t>200906</t>
  </si>
  <si>
    <t>200903</t>
  </si>
  <si>
    <t>200921</t>
  </si>
  <si>
    <t>200920</t>
  </si>
  <si>
    <t>200924</t>
  </si>
  <si>
    <t>200922</t>
  </si>
  <si>
    <t>200925</t>
  </si>
  <si>
    <t>200926</t>
  </si>
  <si>
    <t>200923</t>
  </si>
  <si>
    <t>200941</t>
  </si>
  <si>
    <t>200940</t>
  </si>
  <si>
    <t>200944</t>
  </si>
  <si>
    <t>200942</t>
  </si>
  <si>
    <t>200945</t>
  </si>
  <si>
    <t>200946</t>
  </si>
  <si>
    <t>200943</t>
  </si>
  <si>
    <t>212001</t>
  </si>
  <si>
    <t>212000</t>
  </si>
  <si>
    <t>212004</t>
  </si>
  <si>
    <t>212002</t>
  </si>
  <si>
    <t>212005</t>
  </si>
  <si>
    <t>212006</t>
  </si>
  <si>
    <t>212003</t>
  </si>
  <si>
    <t>200221</t>
  </si>
  <si>
    <t>200220</t>
  </si>
  <si>
    <t>200224</t>
  </si>
  <si>
    <t>200222</t>
  </si>
  <si>
    <t>200225</t>
  </si>
  <si>
    <t>200226</t>
  </si>
  <si>
    <t>200223</t>
  </si>
  <si>
    <t>201381</t>
  </si>
  <si>
    <t>201380</t>
  </si>
  <si>
    <t>201384</t>
  </si>
  <si>
    <t>201382</t>
  </si>
  <si>
    <t>201385</t>
  </si>
  <si>
    <t>201386</t>
  </si>
  <si>
    <t>201383</t>
  </si>
  <si>
    <t>202001</t>
  </si>
  <si>
    <t>202000</t>
  </si>
  <si>
    <t>202004</t>
  </si>
  <si>
    <t>202002</t>
  </si>
  <si>
    <t>202005</t>
  </si>
  <si>
    <t>202006</t>
  </si>
  <si>
    <t>202003</t>
  </si>
  <si>
    <t>220021</t>
  </si>
  <si>
    <t>220020</t>
  </si>
  <si>
    <t>220024</t>
  </si>
  <si>
    <t>220022</t>
  </si>
  <si>
    <t>220025</t>
  </si>
  <si>
    <t>220026</t>
  </si>
  <si>
    <t>220023</t>
  </si>
  <si>
    <t>220041</t>
  </si>
  <si>
    <t>220040</t>
  </si>
  <si>
    <t>220044</t>
  </si>
  <si>
    <t>220042</t>
  </si>
  <si>
    <t>220045</t>
  </si>
  <si>
    <t>220046</t>
  </si>
  <si>
    <t>220043</t>
  </si>
  <si>
    <t>220061</t>
  </si>
  <si>
    <t>220060</t>
  </si>
  <si>
    <t>220064</t>
  </si>
  <si>
    <t>220062</t>
  </si>
  <si>
    <t>220065</t>
  </si>
  <si>
    <t>220066</t>
  </si>
  <si>
    <t>220063</t>
  </si>
  <si>
    <t>220001</t>
  </si>
  <si>
    <t>220000</t>
  </si>
  <si>
    <t>220004</t>
  </si>
  <si>
    <t>220002</t>
  </si>
  <si>
    <t>220005</t>
  </si>
  <si>
    <t>220006</t>
  </si>
  <si>
    <t>220003</t>
  </si>
  <si>
    <t>203901</t>
  </si>
  <si>
    <t>203900</t>
  </si>
  <si>
    <t>203904</t>
  </si>
  <si>
    <t>203902</t>
  </si>
  <si>
    <t>203905</t>
  </si>
  <si>
    <t>203906</t>
  </si>
  <si>
    <t>203903</t>
  </si>
  <si>
    <t>202801</t>
  </si>
  <si>
    <t>202800</t>
  </si>
  <si>
    <t>202804</t>
  </si>
  <si>
    <t>202802</t>
  </si>
  <si>
    <t>202805</t>
  </si>
  <si>
    <t>202806</t>
  </si>
  <si>
    <t>202803</t>
  </si>
  <si>
    <t>202821</t>
  </si>
  <si>
    <t>202820</t>
  </si>
  <si>
    <t>202824</t>
  </si>
  <si>
    <t>202822</t>
  </si>
  <si>
    <t>202825</t>
  </si>
  <si>
    <t>202826</t>
  </si>
  <si>
    <t>202823</t>
  </si>
  <si>
    <t>202841</t>
  </si>
  <si>
    <t>202840</t>
  </si>
  <si>
    <t>202844</t>
  </si>
  <si>
    <t>202842</t>
  </si>
  <si>
    <t>202845</t>
  </si>
  <si>
    <t>202846</t>
  </si>
  <si>
    <t>202843</t>
  </si>
  <si>
    <t>202861</t>
  </si>
  <si>
    <t>202860</t>
  </si>
  <si>
    <t>202864</t>
  </si>
  <si>
    <t>202862</t>
  </si>
  <si>
    <t>202865</t>
  </si>
  <si>
    <t>202866</t>
  </si>
  <si>
    <t>202863</t>
  </si>
  <si>
    <t>202901</t>
  </si>
  <si>
    <t>202900</t>
  </si>
  <si>
    <t>202604</t>
  </si>
  <si>
    <t>202902</t>
  </si>
  <si>
    <t>202905</t>
  </si>
  <si>
    <t>202906</t>
  </si>
  <si>
    <t>202903</t>
  </si>
  <si>
    <t>201001</t>
  </si>
  <si>
    <t>201000</t>
  </si>
  <si>
    <t>201004</t>
  </si>
  <si>
    <t>201002</t>
  </si>
  <si>
    <t>201005</t>
  </si>
  <si>
    <t>201006</t>
  </si>
  <si>
    <t>201003</t>
  </si>
  <si>
    <t>202401</t>
  </si>
  <si>
    <t>202400</t>
  </si>
  <si>
    <t>202404</t>
  </si>
  <si>
    <t>202402</t>
  </si>
  <si>
    <t>202405</t>
  </si>
  <si>
    <t>202406</t>
  </si>
  <si>
    <t>202403</t>
  </si>
  <si>
    <t>202421</t>
  </si>
  <si>
    <t>202420</t>
  </si>
  <si>
    <t>202424</t>
  </si>
  <si>
    <t>202422</t>
  </si>
  <si>
    <t>202425</t>
  </si>
  <si>
    <t>202426</t>
  </si>
  <si>
    <t>202423</t>
  </si>
  <si>
    <t>202441</t>
  </si>
  <si>
    <t>202440</t>
  </si>
  <si>
    <t>202444</t>
  </si>
  <si>
    <t>202442</t>
  </si>
  <si>
    <t>202445</t>
  </si>
  <si>
    <t>202446</t>
  </si>
  <si>
    <t>202443</t>
  </si>
  <si>
    <t>202461</t>
  </si>
  <si>
    <t>202460</t>
  </si>
  <si>
    <t>202464</t>
  </si>
  <si>
    <t>202462</t>
  </si>
  <si>
    <t>202465</t>
  </si>
  <si>
    <t>202466</t>
  </si>
  <si>
    <t>202463</t>
  </si>
  <si>
    <t>202501</t>
  </si>
  <si>
    <t>202500</t>
  </si>
  <si>
    <t>202504</t>
  </si>
  <si>
    <t>202502</t>
  </si>
  <si>
    <t>202505</t>
  </si>
  <si>
    <t>202506</t>
  </si>
  <si>
    <t>202503</t>
  </si>
  <si>
    <t>202521</t>
  </si>
  <si>
    <t>202520</t>
  </si>
  <si>
    <t>202524</t>
  </si>
  <si>
    <t>202522</t>
  </si>
  <si>
    <t>202525</t>
  </si>
  <si>
    <t>202526</t>
  </si>
  <si>
    <t>202523</t>
  </si>
  <si>
    <t>202541</t>
  </si>
  <si>
    <t>202540</t>
  </si>
  <si>
    <t>202544</t>
  </si>
  <si>
    <t>202542</t>
  </si>
  <si>
    <t>202545</t>
  </si>
  <si>
    <t>202546</t>
  </si>
  <si>
    <t>202543</t>
  </si>
  <si>
    <t>202561</t>
  </si>
  <si>
    <t>202560</t>
  </si>
  <si>
    <t>202564</t>
  </si>
  <si>
    <t>202562</t>
  </si>
  <si>
    <t>202565</t>
  </si>
  <si>
    <t>202566</t>
  </si>
  <si>
    <t>202563</t>
  </si>
  <si>
    <t>202301</t>
  </si>
  <si>
    <t>202300</t>
  </si>
  <si>
    <t>202304</t>
  </si>
  <si>
    <t>202302</t>
  </si>
  <si>
    <t>202305</t>
  </si>
  <si>
    <t>202306</t>
  </si>
  <si>
    <t>202303</t>
  </si>
  <si>
    <t>202321</t>
  </si>
  <si>
    <t>202320</t>
  </si>
  <si>
    <t>202324</t>
  </si>
  <si>
    <t>202322</t>
  </si>
  <si>
    <t>202325</t>
  </si>
  <si>
    <t>202326</t>
  </si>
  <si>
    <t>202323</t>
  </si>
  <si>
    <t>202341</t>
  </si>
  <si>
    <t>202340</t>
  </si>
  <si>
    <t>202344</t>
  </si>
  <si>
    <t>202342</t>
  </si>
  <si>
    <t>202345</t>
  </si>
  <si>
    <t>202346</t>
  </si>
  <si>
    <t>202343</t>
  </si>
  <si>
    <t>202361</t>
  </si>
  <si>
    <t>202360</t>
  </si>
  <si>
    <t>202364</t>
  </si>
  <si>
    <t>202362</t>
  </si>
  <si>
    <t>202365</t>
  </si>
  <si>
    <t>202366</t>
  </si>
  <si>
    <t>202363</t>
  </si>
  <si>
    <t>202621</t>
  </si>
  <si>
    <t>202620</t>
  </si>
  <si>
    <t>202624</t>
  </si>
  <si>
    <t>202622</t>
  </si>
  <si>
    <t>202625</t>
  </si>
  <si>
    <t>202626</t>
  </si>
  <si>
    <t>202623</t>
  </si>
  <si>
    <t>202641</t>
  </si>
  <si>
    <t>202640</t>
  </si>
  <si>
    <t>202644</t>
  </si>
  <si>
    <t>202642</t>
  </si>
  <si>
    <t>202645</t>
  </si>
  <si>
    <t>202646</t>
  </si>
  <si>
    <t>202643</t>
  </si>
  <si>
    <t>202661</t>
  </si>
  <si>
    <t>202660</t>
  </si>
  <si>
    <t>202664</t>
  </si>
  <si>
    <t>202662</t>
  </si>
  <si>
    <t>202665</t>
  </si>
  <si>
    <t>202666</t>
  </si>
  <si>
    <t>202663</t>
  </si>
  <si>
    <t>204321</t>
  </si>
  <si>
    <t>204320</t>
  </si>
  <si>
    <t>204324</t>
  </si>
  <si>
    <t>204322</t>
  </si>
  <si>
    <t>204325</t>
  </si>
  <si>
    <t>204326</t>
  </si>
  <si>
    <t>204323</t>
  </si>
  <si>
    <t>203121</t>
  </si>
  <si>
    <t>203120</t>
  </si>
  <si>
    <t>203124</t>
  </si>
  <si>
    <t>203125</t>
  </si>
  <si>
    <t>203126</t>
  </si>
  <si>
    <t>203123</t>
  </si>
  <si>
    <t>203141</t>
  </si>
  <si>
    <t>203140</t>
  </si>
  <si>
    <t>203144</t>
  </si>
  <si>
    <t>203142</t>
  </si>
  <si>
    <t>203145</t>
  </si>
  <si>
    <t>203146</t>
  </si>
  <si>
    <t>203143</t>
  </si>
  <si>
    <t>203161</t>
  </si>
  <si>
    <t>203160</t>
  </si>
  <si>
    <t>203164</t>
  </si>
  <si>
    <t>203162</t>
  </si>
  <si>
    <t>203165</t>
  </si>
  <si>
    <t>203166</t>
  </si>
  <si>
    <t>203163</t>
  </si>
  <si>
    <t>203021</t>
  </si>
  <si>
    <t>203020</t>
  </si>
  <si>
    <t>203024</t>
  </si>
  <si>
    <t>203022</t>
  </si>
  <si>
    <t>203025</t>
  </si>
  <si>
    <t>203026</t>
  </si>
  <si>
    <t>203023</t>
  </si>
  <si>
    <t>203041</t>
  </si>
  <si>
    <t>203040</t>
  </si>
  <si>
    <t>203044</t>
  </si>
  <si>
    <t>203042</t>
  </si>
  <si>
    <t>203045</t>
  </si>
  <si>
    <t>203046</t>
  </si>
  <si>
    <t>203043</t>
  </si>
  <si>
    <t>203061</t>
  </si>
  <si>
    <t>203060</t>
  </si>
  <si>
    <t>203064</t>
  </si>
  <si>
    <t>203062</t>
  </si>
  <si>
    <t>203054</t>
  </si>
  <si>
    <t>203066</t>
  </si>
  <si>
    <t>203063</t>
  </si>
  <si>
    <t>203201</t>
  </si>
  <si>
    <t>203200</t>
  </si>
  <si>
    <t>203204</t>
  </si>
  <si>
    <t>203202</t>
  </si>
  <si>
    <t>203205</t>
  </si>
  <si>
    <t>203206</t>
  </si>
  <si>
    <t>203203</t>
  </si>
  <si>
    <t>203241</t>
  </si>
  <si>
    <t>203240</t>
  </si>
  <si>
    <t>203244</t>
  </si>
  <si>
    <t>203242</t>
  </si>
  <si>
    <t>203245</t>
  </si>
  <si>
    <t>203246</t>
  </si>
  <si>
    <t>203243</t>
  </si>
  <si>
    <t>203221</t>
  </si>
  <si>
    <t>203220</t>
  </si>
  <si>
    <t>203224</t>
  </si>
  <si>
    <t>203222</t>
  </si>
  <si>
    <t>203225</t>
  </si>
  <si>
    <t>203226</t>
  </si>
  <si>
    <t>203223</t>
  </si>
  <si>
    <t>203261</t>
  </si>
  <si>
    <t>203260</t>
  </si>
  <si>
    <t>203262</t>
  </si>
  <si>
    <t>203265</t>
  </si>
  <si>
    <t>203266</t>
  </si>
  <si>
    <t>203263</t>
  </si>
  <si>
    <t>203321</t>
  </si>
  <si>
    <t>203320</t>
  </si>
  <si>
    <t>203324</t>
  </si>
  <si>
    <t>203322</t>
  </si>
  <si>
    <t>203325</t>
  </si>
  <si>
    <t>203326</t>
  </si>
  <si>
    <t>203323</t>
  </si>
  <si>
    <t>203281</t>
  </si>
  <si>
    <t>203280</t>
  </si>
  <si>
    <t>203284</t>
  </si>
  <si>
    <t>203282</t>
  </si>
  <si>
    <t>203285</t>
  </si>
  <si>
    <t>203286</t>
  </si>
  <si>
    <t>203283</t>
  </si>
  <si>
    <t>203341</t>
  </si>
  <si>
    <t>203340</t>
  </si>
  <si>
    <t>203344</t>
  </si>
  <si>
    <t>203342</t>
  </si>
  <si>
    <t>203345</t>
  </si>
  <si>
    <t>203346</t>
  </si>
  <si>
    <t>203343</t>
  </si>
  <si>
    <t>203361</t>
  </si>
  <si>
    <t>203360</t>
  </si>
  <si>
    <t>203364</t>
  </si>
  <si>
    <t>203362</t>
  </si>
  <si>
    <t>203365</t>
  </si>
  <si>
    <t>203366</t>
  </si>
  <si>
    <t>203363</t>
  </si>
  <si>
    <t>203301</t>
  </si>
  <si>
    <t>203300</t>
  </si>
  <si>
    <t>203304</t>
  </si>
  <si>
    <t>203302</t>
  </si>
  <si>
    <t>203305</t>
  </si>
  <si>
    <t>203306</t>
  </si>
  <si>
    <t>203303</t>
  </si>
  <si>
    <t>203601</t>
  </si>
  <si>
    <t>203600</t>
  </si>
  <si>
    <t>203604</t>
  </si>
  <si>
    <t>203602</t>
  </si>
  <si>
    <t>203605</t>
  </si>
  <si>
    <t>203606</t>
  </si>
  <si>
    <t>203603</t>
  </si>
  <si>
    <t>203621</t>
  </si>
  <si>
    <t>203620</t>
  </si>
  <si>
    <t>203624</t>
  </si>
  <si>
    <t>203622</t>
  </si>
  <si>
    <t>203625</t>
  </si>
  <si>
    <t>203626</t>
  </si>
  <si>
    <t>203623</t>
  </si>
  <si>
    <t>203641</t>
  </si>
  <si>
    <t>203640</t>
  </si>
  <si>
    <t>203644</t>
  </si>
  <si>
    <t>203642</t>
  </si>
  <si>
    <t>203645</t>
  </si>
  <si>
    <t>203646</t>
  </si>
  <si>
    <t>203643</t>
  </si>
  <si>
    <t>203661</t>
  </si>
  <si>
    <t>203660</t>
  </si>
  <si>
    <t>203664</t>
  </si>
  <si>
    <t>203662</t>
  </si>
  <si>
    <t>203665</t>
  </si>
  <si>
    <t>203666</t>
  </si>
  <si>
    <t>203663</t>
  </si>
  <si>
    <t>203681</t>
  </si>
  <si>
    <t>203680</t>
  </si>
  <si>
    <t>203684</t>
  </si>
  <si>
    <t>203682</t>
  </si>
  <si>
    <t>203685</t>
  </si>
  <si>
    <t>203686</t>
  </si>
  <si>
    <t>203683</t>
  </si>
  <si>
    <t>203701</t>
  </si>
  <si>
    <t>203700</t>
  </si>
  <si>
    <t>203704</t>
  </si>
  <si>
    <t>203702</t>
  </si>
  <si>
    <t>203705</t>
  </si>
  <si>
    <t>203706</t>
  </si>
  <si>
    <t>203703</t>
  </si>
  <si>
    <t>203721</t>
  </si>
  <si>
    <t>203720</t>
  </si>
  <si>
    <t>203724</t>
  </si>
  <si>
    <t>203722</t>
  </si>
  <si>
    <t>203725</t>
  </si>
  <si>
    <t>203726</t>
  </si>
  <si>
    <t>203723</t>
  </si>
  <si>
    <t>203741</t>
  </si>
  <si>
    <t>203740</t>
  </si>
  <si>
    <t>203744</t>
  </si>
  <si>
    <t>203742</t>
  </si>
  <si>
    <t>203745</t>
  </si>
  <si>
    <t>203746</t>
  </si>
  <si>
    <t>203743</t>
  </si>
  <si>
    <t>202701</t>
  </si>
  <si>
    <t>202700</t>
  </si>
  <si>
    <t>202704</t>
  </si>
  <si>
    <t>202702</t>
  </si>
  <si>
    <t>202705</t>
  </si>
  <si>
    <t>202706</t>
  </si>
  <si>
    <t>202703</t>
  </si>
  <si>
    <t>202721</t>
  </si>
  <si>
    <t>202720</t>
  </si>
  <si>
    <t>202724</t>
  </si>
  <si>
    <t>202722</t>
  </si>
  <si>
    <t>202725</t>
  </si>
  <si>
    <t>202726</t>
  </si>
  <si>
    <t>202723</t>
  </si>
  <si>
    <t>202741</t>
  </si>
  <si>
    <t>202740</t>
  </si>
  <si>
    <t>202744</t>
  </si>
  <si>
    <t>202742</t>
  </si>
  <si>
    <t>202745</t>
  </si>
  <si>
    <t>202746</t>
  </si>
  <si>
    <t>202743</t>
  </si>
  <si>
    <t>202761</t>
  </si>
  <si>
    <t>202760</t>
  </si>
  <si>
    <t>202764</t>
  </si>
  <si>
    <t>202762</t>
  </si>
  <si>
    <t>202765</t>
  </si>
  <si>
    <t>202766</t>
  </si>
  <si>
    <t>202763</t>
  </si>
  <si>
    <t>204201</t>
  </si>
  <si>
    <t>204200</t>
  </si>
  <si>
    <t>204204</t>
  </si>
  <si>
    <t>204202</t>
  </si>
  <si>
    <t>204205</t>
  </si>
  <si>
    <t>204206</t>
  </si>
  <si>
    <t>204203</t>
  </si>
  <si>
    <t>204221</t>
  </si>
  <si>
    <t>204220</t>
  </si>
  <si>
    <t>204224</t>
  </si>
  <si>
    <t>204222</t>
  </si>
  <si>
    <t>204225</t>
  </si>
  <si>
    <t>204226</t>
  </si>
  <si>
    <t>204223</t>
  </si>
  <si>
    <t>203801</t>
  </si>
  <si>
    <t>203800</t>
  </si>
  <si>
    <t>203804</t>
  </si>
  <si>
    <t>203802</t>
  </si>
  <si>
    <t>203805</t>
  </si>
  <si>
    <t>203806</t>
  </si>
  <si>
    <t>203803</t>
  </si>
  <si>
    <t>203821</t>
  </si>
  <si>
    <t>203820</t>
  </si>
  <si>
    <t>203822</t>
  </si>
  <si>
    <t>203825</t>
  </si>
  <si>
    <t>203826</t>
  </si>
  <si>
    <t>203823</t>
  </si>
  <si>
    <t>203841</t>
  </si>
  <si>
    <t>203840</t>
  </si>
  <si>
    <t>203844</t>
  </si>
  <si>
    <t>203842</t>
  </si>
  <si>
    <t>203845</t>
  </si>
  <si>
    <t>203846</t>
  </si>
  <si>
    <t>203843</t>
  </si>
  <si>
    <t>201121</t>
  </si>
  <si>
    <t>201120</t>
  </si>
  <si>
    <t>201124</t>
  </si>
  <si>
    <t>201122</t>
  </si>
  <si>
    <t>201125</t>
  </si>
  <si>
    <t>201126</t>
  </si>
  <si>
    <t>201123</t>
  </si>
  <si>
    <t>201141</t>
  </si>
  <si>
    <t>201140</t>
  </si>
  <si>
    <t>201144</t>
  </si>
  <si>
    <t>201142</t>
  </si>
  <si>
    <t>201145</t>
  </si>
  <si>
    <t>201146</t>
  </si>
  <si>
    <t>201143</t>
  </si>
  <si>
    <t>201161</t>
  </si>
  <si>
    <t>201160</t>
  </si>
  <si>
    <t>201164</t>
  </si>
  <si>
    <t>201162</t>
  </si>
  <si>
    <t>201165</t>
  </si>
  <si>
    <t>201166</t>
  </si>
  <si>
    <t>201163</t>
  </si>
  <si>
    <t>201441</t>
  </si>
  <si>
    <t>201440</t>
  </si>
  <si>
    <t>201444</t>
  </si>
  <si>
    <t>201442</t>
  </si>
  <si>
    <t>201445</t>
  </si>
  <si>
    <t>201446</t>
  </si>
  <si>
    <t>201443</t>
  </si>
  <si>
    <t>201241</t>
  </si>
  <si>
    <t>201240</t>
  </si>
  <si>
    <t>201244</t>
  </si>
  <si>
    <t>201242</t>
  </si>
  <si>
    <t>201245</t>
  </si>
  <si>
    <t>201243</t>
  </si>
  <si>
    <t>201261</t>
  </si>
  <si>
    <t>201260</t>
  </si>
  <si>
    <t>201264</t>
  </si>
  <si>
    <t>201262</t>
  </si>
  <si>
    <t>201265</t>
  </si>
  <si>
    <t>201266</t>
  </si>
  <si>
    <t>201263</t>
  </si>
  <si>
    <t>dunkelgrau</t>
  </si>
  <si>
    <t>4 × 9,5 mm</t>
  </si>
  <si>
    <t>533003</t>
  </si>
  <si>
    <t>533004</t>
  </si>
  <si>
    <t>533011</t>
  </si>
  <si>
    <t>533009</t>
  </si>
  <si>
    <t>533007</t>
  </si>
  <si>
    <t>533025</t>
  </si>
  <si>
    <t>533027</t>
  </si>
  <si>
    <t>533017</t>
  </si>
  <si>
    <t>204041</t>
  </si>
  <si>
    <t>204040</t>
  </si>
  <si>
    <t>204044</t>
  </si>
  <si>
    <t>204042</t>
  </si>
  <si>
    <t>204045</t>
  </si>
  <si>
    <t>204046</t>
  </si>
  <si>
    <t>204043</t>
  </si>
  <si>
    <t>667020</t>
  </si>
  <si>
    <t>667004</t>
  </si>
  <si>
    <t>667002</t>
  </si>
  <si>
    <t>667007</t>
  </si>
  <si>
    <t>667003</t>
  </si>
  <si>
    <t>667005</t>
  </si>
  <si>
    <t>667012</t>
  </si>
  <si>
    <t>667006</t>
  </si>
  <si>
    <t>667009</t>
  </si>
  <si>
    <t>667013</t>
  </si>
  <si>
    <t>667014</t>
  </si>
  <si>
    <t>667015</t>
  </si>
  <si>
    <t>0,75 l Dose</t>
  </si>
  <si>
    <t>430020</t>
  </si>
  <si>
    <t>430022</t>
  </si>
  <si>
    <t>430023</t>
  </si>
  <si>
    <t>430019</t>
  </si>
  <si>
    <t>430008</t>
  </si>
  <si>
    <t>430031</t>
  </si>
  <si>
    <t>430024</t>
  </si>
  <si>
    <t>430007</t>
  </si>
  <si>
    <t>430021</t>
  </si>
  <si>
    <t>430115</t>
  </si>
  <si>
    <t>430027</t>
  </si>
  <si>
    <t>203401  547010</t>
  </si>
  <si>
    <t>203400  547010</t>
  </si>
  <si>
    <t>203404  547010</t>
  </si>
  <si>
    <t>203402  547010</t>
  </si>
  <si>
    <t>203405  547010</t>
  </si>
  <si>
    <t>203406  547010</t>
  </si>
  <si>
    <t>203403  547010</t>
  </si>
  <si>
    <t>203421  547002</t>
  </si>
  <si>
    <t>203420  547002</t>
  </si>
  <si>
    <t>203424  547002</t>
  </si>
  <si>
    <t>203422  547002</t>
  </si>
  <si>
    <t>203425  547002</t>
  </si>
  <si>
    <t>203426  547002</t>
  </si>
  <si>
    <t>203423  547002</t>
  </si>
  <si>
    <t>203441  547001</t>
  </si>
  <si>
    <t>203440  547001</t>
  </si>
  <si>
    <t>203444  547001</t>
  </si>
  <si>
    <t>203442  547001</t>
  </si>
  <si>
    <t>203445  547001</t>
  </si>
  <si>
    <t>203446  547001</t>
  </si>
  <si>
    <t>203443  547001</t>
  </si>
  <si>
    <t>203461  547003</t>
  </si>
  <si>
    <t>203460  547003</t>
  </si>
  <si>
    <t>203464  547003</t>
  </si>
  <si>
    <t>203462  547003</t>
  </si>
  <si>
    <t>203465  547003</t>
  </si>
  <si>
    <t>203466  547003</t>
  </si>
  <si>
    <t>203463  547003</t>
  </si>
  <si>
    <t>203501  547011</t>
  </si>
  <si>
    <t>203500  547011</t>
  </si>
  <si>
    <t>203504  547011</t>
  </si>
  <si>
    <t>203502  547011</t>
  </si>
  <si>
    <t>203505  547011</t>
  </si>
  <si>
    <t>203506  547011</t>
  </si>
  <si>
    <t>203503  547011</t>
  </si>
  <si>
    <t>203541  547008</t>
  </si>
  <si>
    <t>203540  547008</t>
  </si>
  <si>
    <t>203544  547008</t>
  </si>
  <si>
    <t>203542  547008</t>
  </si>
  <si>
    <t>203545  547008</t>
  </si>
  <si>
    <t>203546  547008</t>
  </si>
  <si>
    <t>203543  547008</t>
  </si>
  <si>
    <t>203561  547009</t>
  </si>
  <si>
    <t>203560  547009</t>
  </si>
  <si>
    <t>203564  547009</t>
  </si>
  <si>
    <t>203562  547009</t>
  </si>
  <si>
    <t>203565  547009</t>
  </si>
  <si>
    <t>203566  547009</t>
  </si>
  <si>
    <t>203563  547009</t>
  </si>
  <si>
    <t>430150</t>
  </si>
  <si>
    <t>430153</t>
  </si>
  <si>
    <t>430154</t>
  </si>
  <si>
    <t>430155</t>
  </si>
  <si>
    <t>430203</t>
  </si>
  <si>
    <t>430210</t>
  </si>
  <si>
    <t>430204</t>
  </si>
  <si>
    <t>430205</t>
  </si>
  <si>
    <t>600mm</t>
  </si>
  <si>
    <t>1500mm</t>
  </si>
  <si>
    <t>3000mm</t>
  </si>
  <si>
    <t xml:space="preserve">hellgrau </t>
  </si>
  <si>
    <t>151161</t>
  </si>
  <si>
    <t>151160</t>
  </si>
  <si>
    <t>161162</t>
  </si>
  <si>
    <t>161163</t>
  </si>
  <si>
    <t>151121</t>
  </si>
  <si>
    <t>151120</t>
  </si>
  <si>
    <t>151122</t>
  </si>
  <si>
    <t>151123</t>
  </si>
  <si>
    <t>151101</t>
  </si>
  <si>
    <t>151100</t>
  </si>
  <si>
    <t>151102</t>
  </si>
  <si>
    <t>151103</t>
  </si>
  <si>
    <t>150162</t>
  </si>
  <si>
    <t>150160</t>
  </si>
  <si>
    <t>150161</t>
  </si>
  <si>
    <t>150163</t>
  </si>
  <si>
    <t>150165</t>
  </si>
  <si>
    <t>150122</t>
  </si>
  <si>
    <t>150120</t>
  </si>
  <si>
    <t>150121</t>
  </si>
  <si>
    <t>150123</t>
  </si>
  <si>
    <t>150125</t>
  </si>
  <si>
    <t>150102</t>
  </si>
  <si>
    <t>150100</t>
  </si>
  <si>
    <t>150101</t>
  </si>
  <si>
    <t>150103</t>
  </si>
  <si>
    <t>150105</t>
  </si>
  <si>
    <t>151201</t>
  </si>
  <si>
    <t>151200</t>
  </si>
  <si>
    <t>151202</t>
  </si>
  <si>
    <t>151203</t>
  </si>
  <si>
    <t>151261</t>
  </si>
  <si>
    <t>151260</t>
  </si>
  <si>
    <t>151262</t>
  </si>
  <si>
    <t>151263</t>
  </si>
  <si>
    <t>151301</t>
  </si>
  <si>
    <t>151300</t>
  </si>
  <si>
    <t>151302</t>
  </si>
  <si>
    <t>151303</t>
  </si>
  <si>
    <t>151381</t>
  </si>
  <si>
    <t>151380</t>
  </si>
  <si>
    <t>151382</t>
  </si>
  <si>
    <t>151383</t>
  </si>
  <si>
    <t>151421</t>
  </si>
  <si>
    <t>151420</t>
  </si>
  <si>
    <t>151422</t>
  </si>
  <si>
    <t>151423</t>
  </si>
  <si>
    <t>151501</t>
  </si>
  <si>
    <t xml:space="preserve">151500
</t>
  </si>
  <si>
    <t>151502</t>
  </si>
  <si>
    <t>151503</t>
  </si>
  <si>
    <t>151141</t>
  </si>
  <si>
    <t>151140</t>
  </si>
  <si>
    <t>151142</t>
  </si>
  <si>
    <t>151143</t>
  </si>
  <si>
    <t>150322</t>
  </si>
  <si>
    <t>150320</t>
  </si>
  <si>
    <t>150323</t>
  </si>
  <si>
    <t>150325</t>
  </si>
  <si>
    <t>533001</t>
  </si>
  <si>
    <t>533014</t>
  </si>
  <si>
    <t>533008</t>
  </si>
  <si>
    <t>533016</t>
  </si>
  <si>
    <t>533010</t>
  </si>
  <si>
    <t>533002</t>
  </si>
  <si>
    <t>braun</t>
  </si>
  <si>
    <t>schwarz</t>
  </si>
  <si>
    <t>prefaweiß</t>
  </si>
  <si>
    <t>nussbraun</t>
  </si>
  <si>
    <t>230702</t>
  </si>
  <si>
    <t>230700</t>
  </si>
  <si>
    <t>230701</t>
  </si>
  <si>
    <t>230722</t>
  </si>
  <si>
    <t>230720</t>
  </si>
  <si>
    <t>230721</t>
  </si>
  <si>
    <t>230742</t>
  </si>
  <si>
    <t>230740</t>
  </si>
  <si>
    <t>230741</t>
  </si>
  <si>
    <t>230001</t>
  </si>
  <si>
    <t>230000</t>
  </si>
  <si>
    <t>230004</t>
  </si>
  <si>
    <t>230002</t>
  </si>
  <si>
    <t>230005</t>
  </si>
  <si>
    <t>230006</t>
  </si>
  <si>
    <t>230003</t>
  </si>
  <si>
    <t>230021</t>
  </si>
  <si>
    <t>230020</t>
  </si>
  <si>
    <t>230024</t>
  </si>
  <si>
    <t>230022</t>
  </si>
  <si>
    <t>230025</t>
  </si>
  <si>
    <t>230026</t>
  </si>
  <si>
    <t>230023</t>
  </si>
  <si>
    <t>230041</t>
  </si>
  <si>
    <t>230040</t>
  </si>
  <si>
    <t>230044</t>
  </si>
  <si>
    <t>230042</t>
  </si>
  <si>
    <t>230045</t>
  </si>
  <si>
    <t>230046</t>
  </si>
  <si>
    <t>230043</t>
  </si>
  <si>
    <t>230902</t>
  </si>
  <si>
    <t>230901</t>
  </si>
  <si>
    <t>230201</t>
  </si>
  <si>
    <t>230200</t>
  </si>
  <si>
    <t>230204</t>
  </si>
  <si>
    <t>230205</t>
  </si>
  <si>
    <t>230206</t>
  </si>
  <si>
    <t>230203</t>
  </si>
  <si>
    <t>230922</t>
  </si>
  <si>
    <t>230920</t>
  </si>
  <si>
    <t>230921</t>
  </si>
  <si>
    <t>230221</t>
  </si>
  <si>
    <t>230220</t>
  </si>
  <si>
    <t>230224</t>
  </si>
  <si>
    <t>230225</t>
  </si>
  <si>
    <t>230226</t>
  </si>
  <si>
    <t>230223</t>
  </si>
  <si>
    <t>230942</t>
  </si>
  <si>
    <t>230940</t>
  </si>
  <si>
    <t>230941</t>
  </si>
  <si>
    <t>230301</t>
  </si>
  <si>
    <t>230300</t>
  </si>
  <si>
    <t>230304</t>
  </si>
  <si>
    <t>230302</t>
  </si>
  <si>
    <t>230305</t>
  </si>
  <si>
    <t>230306</t>
  </si>
  <si>
    <t>230303</t>
  </si>
  <si>
    <t>230982</t>
  </si>
  <si>
    <t>230980</t>
  </si>
  <si>
    <t>230981</t>
  </si>
  <si>
    <t>230401</t>
  </si>
  <si>
    <t>230400</t>
  </si>
  <si>
    <t>230404</t>
  </si>
  <si>
    <t>230405</t>
  </si>
  <si>
    <t>230406</t>
  </si>
  <si>
    <t>230403</t>
  </si>
  <si>
    <t>230421</t>
  </si>
  <si>
    <t>230420</t>
  </si>
  <si>
    <t>230424</t>
  </si>
  <si>
    <t>230422</t>
  </si>
  <si>
    <t>230425</t>
  </si>
  <si>
    <t>230426</t>
  </si>
  <si>
    <t>230423</t>
  </si>
  <si>
    <t>231022</t>
  </si>
  <si>
    <t>231020</t>
  </si>
  <si>
    <t>231021</t>
  </si>
  <si>
    <t>230501</t>
  </si>
  <si>
    <t>230500</t>
  </si>
  <si>
    <t>230504</t>
  </si>
  <si>
    <t>230502</t>
  </si>
  <si>
    <t>230505</t>
  </si>
  <si>
    <t>230506</t>
  </si>
  <si>
    <t>230503</t>
  </si>
  <si>
    <t>230521</t>
  </si>
  <si>
    <t>230520</t>
  </si>
  <si>
    <t>230524</t>
  </si>
  <si>
    <t>230522</t>
  </si>
  <si>
    <t>230525</t>
  </si>
  <si>
    <t>230526</t>
  </si>
  <si>
    <t>230523</t>
  </si>
  <si>
    <t>231042</t>
  </si>
  <si>
    <t>231040</t>
  </si>
  <si>
    <t>231041</t>
  </si>
  <si>
    <t>230601</t>
  </si>
  <si>
    <t>230600</t>
  </si>
  <si>
    <t>23604</t>
  </si>
  <si>
    <t>230602</t>
  </si>
  <si>
    <t>230605</t>
  </si>
  <si>
    <t>230606</t>
  </si>
  <si>
    <t>230603</t>
  </si>
  <si>
    <t>230802</t>
  </si>
  <si>
    <t>230800</t>
  </si>
  <si>
    <t>230801</t>
  </si>
  <si>
    <t>230101</t>
  </si>
  <si>
    <t>230100</t>
  </si>
  <si>
    <t>230102</t>
  </si>
  <si>
    <t>230105</t>
  </si>
  <si>
    <t>230106</t>
  </si>
  <si>
    <t>230103</t>
  </si>
  <si>
    <t>230321</t>
  </si>
  <si>
    <t>230320</t>
  </si>
  <si>
    <t>230322</t>
  </si>
  <si>
    <t>230325</t>
  </si>
  <si>
    <t>230326</t>
  </si>
  <si>
    <t>230323</t>
  </si>
  <si>
    <t>202904</t>
  </si>
  <si>
    <t>Datum:</t>
  </si>
  <si>
    <t>Bemerkung:</t>
  </si>
  <si>
    <t>Registerblatt:</t>
  </si>
  <si>
    <t>Zelle:</t>
  </si>
  <si>
    <t>Zusatzinfo</t>
  </si>
  <si>
    <t>Von:</t>
  </si>
  <si>
    <t>Saumstreifen bei DR29 falsche Länge hinterlegt</t>
  </si>
  <si>
    <t>DR29</t>
  </si>
  <si>
    <t>P35 + Q35</t>
  </si>
  <si>
    <t>von 2 auf 1,8 geändert</t>
  </si>
  <si>
    <t>MUA</t>
  </si>
  <si>
    <t>Bei Farben wurde "P.10" als Text ergänzt</t>
  </si>
  <si>
    <t>RI_P.10</t>
  </si>
  <si>
    <t>G16-G18</t>
  </si>
  <si>
    <t>QR_P.10</t>
  </si>
  <si>
    <t>Farbe P.10 Dunkelgrau 2021 neu hinzugefügt</t>
  </si>
  <si>
    <t>alle</t>
  </si>
  <si>
    <t>Anpassung Farbmatrix</t>
  </si>
  <si>
    <t>RI</t>
  </si>
  <si>
    <t>GRM, MUA</t>
  </si>
  <si>
    <t>Rohrübergang hinzugefügt</t>
  </si>
  <si>
    <t>RI, RI P.10</t>
  </si>
  <si>
    <t>neues Produkt</t>
  </si>
  <si>
    <t>GRM</t>
  </si>
  <si>
    <t>Anpassung Dimension Schiebemuffe</t>
  </si>
  <si>
    <t>Ø120</t>
  </si>
  <si>
    <t>Anpassung Dimension Speiereinmündung</t>
  </si>
  <si>
    <t>Ø80</t>
  </si>
  <si>
    <t>Rohrschellendorn "alt" ausgeblendet</t>
  </si>
  <si>
    <t>Zeile 71 bzw. 63</t>
  </si>
  <si>
    <t>entfällt</t>
  </si>
  <si>
    <t>diverse Artikelnummern ausgebessert</t>
  </si>
  <si>
    <t>DR29, RI, RI P.10</t>
  </si>
  <si>
    <t>MUA, GRM</t>
  </si>
  <si>
    <t>Übersetzungen übernommen</t>
  </si>
  <si>
    <t>Sprachindex</t>
  </si>
  <si>
    <t>Zeile 424 bis 435</t>
  </si>
  <si>
    <t>55 x 78 - CK02</t>
  </si>
  <si>
    <t>55 x 98 - CK04</t>
  </si>
  <si>
    <t>Dachflächenfenstereinfassung für PREFALZ</t>
  </si>
  <si>
    <t>55 x 118 - CK06</t>
  </si>
  <si>
    <t>66 x 98 - FK04</t>
  </si>
  <si>
    <t>55 x 78-118 cm</t>
  </si>
  <si>
    <t>66 x 118 - FK06</t>
  </si>
  <si>
    <t>66 x 98-140 cm</t>
  </si>
  <si>
    <t>66 x 140 - FK08</t>
  </si>
  <si>
    <t>78 x 98-140 cm</t>
  </si>
  <si>
    <t>78 x 98 - MK04</t>
  </si>
  <si>
    <t>78 x 160-180 cm</t>
  </si>
  <si>
    <t>78 x 118 - MK06</t>
  </si>
  <si>
    <t>94 x 98-140 cm</t>
  </si>
  <si>
    <t>78 x 140 - MK08</t>
  </si>
  <si>
    <t>94 x 160-180 cm</t>
  </si>
  <si>
    <t>78 x 160 - MK10</t>
  </si>
  <si>
    <t>114 x 118-140 cm</t>
  </si>
  <si>
    <t>78 x 180 - MK12</t>
  </si>
  <si>
    <t>114 x 160-180 cm</t>
  </si>
  <si>
    <t>94 x 98 - PK04</t>
  </si>
  <si>
    <t>134 x 98-140 cm</t>
  </si>
  <si>
    <t>94 x 118 - PK06</t>
  </si>
  <si>
    <t>134 x 160-180 cm</t>
  </si>
  <si>
    <t>94 x 140 - PK08</t>
  </si>
  <si>
    <t>94 x 160 - PK10</t>
  </si>
  <si>
    <t>114 x 118 - SK06</t>
  </si>
  <si>
    <t>114 x 140 - SK08</t>
  </si>
  <si>
    <t>114 x 160 - SK10</t>
  </si>
  <si>
    <t>134 x 98 - UK04</t>
  </si>
  <si>
    <t>134 x 140 - UK08</t>
  </si>
  <si>
    <t>134 x 160 - UK10</t>
  </si>
  <si>
    <t>54 x 78 - 05/07_WD</t>
  </si>
  <si>
    <t>550 x 774 - Q55/78_WD</t>
  </si>
  <si>
    <t>54 x 98 - 05/09_WD</t>
  </si>
  <si>
    <t>550 x 974 - Q55/98_WD</t>
  </si>
  <si>
    <t>54 x 118 - 05/11_WD</t>
  </si>
  <si>
    <t>550 x 1.174 - Q55/118_WD</t>
  </si>
  <si>
    <t>65 x 98 - 06/09_WD</t>
  </si>
  <si>
    <t>660 x 974 - Q66/98_WD</t>
  </si>
  <si>
    <t>65 x 118 - 06/11_WD</t>
  </si>
  <si>
    <t>660 x 1.174 - Q66/118_WD</t>
  </si>
  <si>
    <t>65 x 140 - 06/14_WD</t>
  </si>
  <si>
    <t>660 x 1.394 - Q66/140_WD</t>
  </si>
  <si>
    <t>74 x 78 - 07/07_WD</t>
  </si>
  <si>
    <t>780 x 774 - Q78/78_WD</t>
  </si>
  <si>
    <t>74 x 98 - 07/09_WD</t>
  </si>
  <si>
    <t>780 x 974 - Q78/98_WD</t>
  </si>
  <si>
    <t>74 x 118 - 07/11_WD</t>
  </si>
  <si>
    <t>780 x 1.174 - Q78/118_WD</t>
  </si>
  <si>
    <t>74 x 140 - 07/14_WD</t>
  </si>
  <si>
    <t>780 x 1.394 - Q78/140_WD</t>
  </si>
  <si>
    <t>74 x 160 - 07/16_WD</t>
  </si>
  <si>
    <t>780 x 1.596 - Q78/160_WD</t>
  </si>
  <si>
    <t>94 x 78 - 09/07_WD</t>
  </si>
  <si>
    <t>940 x 774 - Q94/78_WD</t>
  </si>
  <si>
    <t>94 x 98 - 09/09_WD</t>
  </si>
  <si>
    <t>940 x 974 - Q94/98_WD</t>
  </si>
  <si>
    <t>94 x 118 - 09/11_WD</t>
  </si>
  <si>
    <t>940 x 1.174 - Q94/118_WD</t>
  </si>
  <si>
    <t>94 x 140 - 09/14_WD</t>
  </si>
  <si>
    <t>940 x 1.394 - Q94/140_WD</t>
  </si>
  <si>
    <t>94 x 160 - 09/16_WD</t>
  </si>
  <si>
    <t>940 x 1.596 - Q94/160_WD</t>
  </si>
  <si>
    <t>114 x 78 - 11/07_WD</t>
  </si>
  <si>
    <t>940 x 1.796 - Q94/180_WD</t>
  </si>
  <si>
    <t>114 x 98 - 11/09_WD</t>
  </si>
  <si>
    <t>1.140 x 774 - Q114/78_WD</t>
  </si>
  <si>
    <t>114 x 118 - 11/11_WD</t>
  </si>
  <si>
    <t>1.140 x 974 - Q114/98_WD</t>
  </si>
  <si>
    <t>114 x 140 - 11/14_WD</t>
  </si>
  <si>
    <t>1.140 x 1.174 - Q114/118_WD</t>
  </si>
  <si>
    <t>114 x 160 - 11/16_WD</t>
  </si>
  <si>
    <t>1.140 x 1.394 - Q114/140_WD</t>
  </si>
  <si>
    <t>134 x 78 - 13/07_WD</t>
  </si>
  <si>
    <t>1.140 x 1.596 - Q114/160_WD</t>
  </si>
  <si>
    <t>134 x 98 - 13/09_WD</t>
  </si>
  <si>
    <t>1.140 x 1.796 - Q114/180_WD</t>
  </si>
  <si>
    <t>134 x 140 - 13/14_WD</t>
  </si>
  <si>
    <t>1.340 x 774 - Q134/78_WD</t>
  </si>
  <si>
    <t>1.340 x 974 - Q134/98_WD</t>
  </si>
  <si>
    <t>1.340 x 1.174 - Q134/118_WD</t>
  </si>
  <si>
    <t>54 x 78 - 05/07_OWD</t>
  </si>
  <si>
    <t>1.340 x 1.394 - Q134/140_WD</t>
  </si>
  <si>
    <t>54 x 98 - 05/09_OWD</t>
  </si>
  <si>
    <t>1.340 x 1.596 - Q134/160_WD</t>
  </si>
  <si>
    <t>54 x 118 - 05/11_OWD</t>
  </si>
  <si>
    <t>65 x 98 - 06/09_OWD</t>
  </si>
  <si>
    <t>65 x 118 - 06/11_OWD</t>
  </si>
  <si>
    <t>550 x 774 - Q55/78_OWD</t>
  </si>
  <si>
    <t>65 x 140 - 06/14_OWD</t>
  </si>
  <si>
    <t>550 x 974 - Q55/98_OWD</t>
  </si>
  <si>
    <t>74 x 78 - 07/07_OWD</t>
  </si>
  <si>
    <t>550 x 1.174 - Q55/118_OWD</t>
  </si>
  <si>
    <t>74 x 98 - 07/09_OWD</t>
  </si>
  <si>
    <t>660 x 974 - Q66/98_OWD</t>
  </si>
  <si>
    <t>74 x 118 - 07/11_OWD</t>
  </si>
  <si>
    <t>660 x 1.174 - Q66/118_OWD</t>
  </si>
  <si>
    <t>74 x 140 - 07/14_OWD</t>
  </si>
  <si>
    <t>660 x 1.394 - Q66/140_OWD</t>
  </si>
  <si>
    <t>74 x 160 - 07/16_OWD</t>
  </si>
  <si>
    <t>780 x 774 - Q78/78_OWD</t>
  </si>
  <si>
    <t>94 x 78 - 09/07_OWD</t>
  </si>
  <si>
    <t>780 x 974 - Q78/98_OWD</t>
  </si>
  <si>
    <t>94 x 98 - 09/09_OWD</t>
  </si>
  <si>
    <t>780 x 1.174 - Q78/118_OWD</t>
  </si>
  <si>
    <t>94 x 118 - 09/11_OWD</t>
  </si>
  <si>
    <t>780 x 1.394 - Q78/140_OWD</t>
  </si>
  <si>
    <t>94 x 140 - 09/14_OWD</t>
  </si>
  <si>
    <t>780 x 1.596 - Q78/160_OWD</t>
  </si>
  <si>
    <t>94 x 160 - 09/16_OWD</t>
  </si>
  <si>
    <t>940 x 774 - Q94/78_OWD</t>
  </si>
  <si>
    <t>114 x 78 - 11/07_OWD</t>
  </si>
  <si>
    <t>940 x 974 - Q94/98_OWD</t>
  </si>
  <si>
    <t>114 x 98 - 11/09_OWD</t>
  </si>
  <si>
    <t>940 x 1.174 - Q94/118_OWD</t>
  </si>
  <si>
    <t>114 x 118 - 11/11_OWD</t>
  </si>
  <si>
    <t>940 x 1.394 - Q94/140_OWD</t>
  </si>
  <si>
    <t>114 x 140 - 11/14_OWD</t>
  </si>
  <si>
    <t>940 x 1.596 - Q94/160_OWD</t>
  </si>
  <si>
    <t>114 x 160 - 11/16_OWD</t>
  </si>
  <si>
    <t>940 x 1.796 - Q94/180_OWD</t>
  </si>
  <si>
    <t>134 x 78 - 13/07_OWD</t>
  </si>
  <si>
    <t>1.140 x 774 - Q114/78_OWD</t>
  </si>
  <si>
    <t>134 x 98 - 13/09_OWD</t>
  </si>
  <si>
    <t>1.140 x 974 - Q114/98_OWD</t>
  </si>
  <si>
    <t>134 x 140 - 13/14_OWD</t>
  </si>
  <si>
    <t>1.140 x 1.174 - Q114/118_OWD</t>
  </si>
  <si>
    <t>1.140 x 1.394 - Q114/140_OWD</t>
  </si>
  <si>
    <t>1.140 x 1.596 - Q114/160_OWD</t>
  </si>
  <si>
    <t>1.140 x 1.796 - Q114/180_OWD</t>
  </si>
  <si>
    <t>1.340 x 774 - Q134/78_OWD</t>
  </si>
  <si>
    <t>1.340 x 974 - Q134/98_OWD</t>
  </si>
  <si>
    <t>1.340 x 1.174 - Q134/118_OWD</t>
  </si>
  <si>
    <t>1.340 x 1.394 - Q134/140_OWD</t>
  </si>
  <si>
    <t>1.340 x 1.596 - Q134/160_OWD</t>
  </si>
  <si>
    <t>Magazine</t>
  </si>
  <si>
    <t>Rinne PP.99</t>
  </si>
  <si>
    <t>PREFA Dachrinne</t>
  </si>
  <si>
    <t>PREFA Rinnenhaken</t>
  </si>
  <si>
    <t>PREFA Rinnenhaken Schweiz</t>
  </si>
  <si>
    <t>PREFA Rinnenhaken, hochkant</t>
  </si>
  <si>
    <t>Werte 250 bis 400 (ohne 500)</t>
  </si>
  <si>
    <t>Werte 250 bis 500 (ohne 280)</t>
  </si>
  <si>
    <t>Werte 250  333 400</t>
  </si>
  <si>
    <t>PREFA Rinnenkessel</t>
  </si>
  <si>
    <t>PREFA Schrägstutzen</t>
  </si>
  <si>
    <t>Kastenrinne</t>
  </si>
  <si>
    <t>Rinnenhaken</t>
  </si>
  <si>
    <t>Stirnbretthaken</t>
  </si>
  <si>
    <t>Kastenrinnenboden</t>
  </si>
  <si>
    <t>PREFA Kastenrinnenkessel</t>
  </si>
  <si>
    <t>DM 80 + 100 + 120 + 150</t>
  </si>
  <si>
    <t>PREFA Rohrschelle, ohne Dorn</t>
  </si>
  <si>
    <t>PREFA Rohrbogen 72°</t>
  </si>
  <si>
    <t>DM 80 + 100 + 120</t>
  </si>
  <si>
    <t>PREFA Rohreinmündung</t>
  </si>
  <si>
    <t>PREFA Ablaufrohr, 60</t>
  </si>
  <si>
    <t>PREFA Ablaufrohr 1,6 mm</t>
  </si>
  <si>
    <t>Teleskoprohrbogen</t>
  </si>
  <si>
    <t>Standrohrkappe"</t>
  </si>
  <si>
    <t>Standrohr mit Reinigungsöffnung</t>
  </si>
  <si>
    <t>80 x 1.000</t>
  </si>
  <si>
    <t>100 x 1.000</t>
  </si>
  <si>
    <t>120 x 1.000</t>
  </si>
  <si>
    <t>Patentniete</t>
  </si>
  <si>
    <t>PREFA Hydrolack</t>
  </si>
  <si>
    <t>DM 60 + 80 + 100 + 120</t>
  </si>
  <si>
    <t>WDVS-Rohrschellendübel 10</t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</si>
  <si>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120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</si>
  <si>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180 mm</t>
    </r>
  </si>
  <si>
    <r>
      <rPr>
        <sz val="11"/>
        <color theme="1"/>
        <rFont val="Arial"/>
        <family val="2"/>
      </rPr>
      <t>Ø</t>
    </r>
    <r>
      <rPr>
        <sz val="11"/>
        <color theme="1"/>
        <rFont val="Calibri"/>
        <family val="2"/>
      </rPr>
      <t xml:space="preserve"> 10 x 280 mm</t>
    </r>
  </si>
  <si>
    <t>Rohrübergang</t>
  </si>
  <si>
    <t>55 x 78-99 cm</t>
  </si>
  <si>
    <t>PREFA Aluminium Dachrinne mit Schutzfolie aussen</t>
  </si>
  <si>
    <t>PREFA Rinnenhaken Hochkant</t>
  </si>
  <si>
    <t>PREFA Rohrschelle mit M10 Gewinde ohne Dorn</t>
  </si>
  <si>
    <t>PREFA Ablaufrohr DN 60 geschweißt</t>
  </si>
  <si>
    <t>_DEUTSCH (DE)</t>
  </si>
  <si>
    <t>_ENGLISCH</t>
  </si>
  <si>
    <t>_FRANZÖSISCH</t>
  </si>
  <si>
    <t>_ITALIENISCH</t>
  </si>
  <si>
    <t>_Tschechisch</t>
  </si>
  <si>
    <t>_Polnisch</t>
  </si>
  <si>
    <t>_Ungarisch</t>
  </si>
  <si>
    <t>_Slowakisch</t>
  </si>
  <si>
    <t>_Niederländisch</t>
  </si>
  <si>
    <t>_Slovenisch</t>
  </si>
  <si>
    <t>_Schwedisch</t>
  </si>
  <si>
    <t>_Dänisch</t>
  </si>
  <si>
    <t>_Norwegisch</t>
  </si>
  <si>
    <t>_Kroatisch</t>
  </si>
  <si>
    <t>_DEUTSCH (AT)</t>
  </si>
  <si>
    <t>Sprache</t>
  </si>
  <si>
    <t>Language</t>
  </si>
  <si>
    <t>Langue</t>
  </si>
  <si>
    <t>Lingua</t>
  </si>
  <si>
    <t>jazyk</t>
  </si>
  <si>
    <t>Polski</t>
  </si>
  <si>
    <t>Nyelv</t>
  </si>
  <si>
    <t>Jazyk</t>
  </si>
  <si>
    <r>
      <rPr>
        <sz val="11"/>
        <color theme="1"/>
        <rFont val="Calibri"/>
        <family val="2"/>
      </rPr>
      <t>Taal</t>
    </r>
  </si>
  <si>
    <t>jezik</t>
  </si>
  <si>
    <r>
      <rPr>
        <sz val="11"/>
        <color theme="1"/>
        <rFont val="Calibri"/>
        <family val="2"/>
      </rPr>
      <t>Språk</t>
    </r>
  </si>
  <si>
    <r>
      <rPr>
        <sz val="11"/>
        <color theme="1"/>
        <rFont val="Calibri"/>
        <family val="2"/>
      </rPr>
      <t>Sprog</t>
    </r>
  </si>
  <si>
    <t>Jezik</t>
  </si>
  <si>
    <t>DACHSYSTEME</t>
  </si>
  <si>
    <t>ROOF SYSTEMS</t>
  </si>
  <si>
    <t>TOITURES PREFA</t>
  </si>
  <si>
    <t>COPERTURA PREFA</t>
  </si>
  <si>
    <t>STŘEŠNÍ SYSTÉMY</t>
  </si>
  <si>
    <t>SYSTEM DACHOWY</t>
  </si>
  <si>
    <t>TETŐFEDÉSI RENDSZEREK</t>
  </si>
  <si>
    <t>STREŠNÉ SYSTÉMY</t>
  </si>
  <si>
    <t>DAKSYSTEMEN</t>
  </si>
  <si>
    <t>strešni sistemi</t>
  </si>
  <si>
    <r>
      <rPr>
        <sz val="11"/>
        <color theme="1"/>
        <rFont val="Calibri"/>
        <family val="2"/>
      </rPr>
      <t>PREFA TAKSYSTEM</t>
    </r>
  </si>
  <si>
    <t>TAGSYSTEMER</t>
  </si>
  <si>
    <t>TAKSYSTEMER</t>
  </si>
  <si>
    <t>KROVNI SUSTAVI</t>
  </si>
  <si>
    <t>DACHPLATTE</t>
  </si>
  <si>
    <t>ROOF TILE</t>
  </si>
  <si>
    <t>TUILE</t>
  </si>
  <si>
    <t>TEGOLA</t>
  </si>
  <si>
    <t>FALCOVANÁ TAŠKA</t>
  </si>
  <si>
    <t>DACHÓWKA KLASYCZNA</t>
  </si>
  <si>
    <t>CLASSIC ELEM</t>
  </si>
  <si>
    <t>STREŠNÁ FALCOVANÁ ŠKRIDLA</t>
  </si>
  <si>
    <r>
      <rPr>
        <sz val="11"/>
        <color theme="1"/>
        <rFont val="Calibri"/>
        <family val="2"/>
      </rPr>
      <t>DAKPLAAT</t>
    </r>
  </si>
  <si>
    <t>strešna plošča</t>
  </si>
  <si>
    <r>
      <rPr>
        <sz val="11"/>
        <color theme="1"/>
        <rFont val="Calibri"/>
        <family val="2"/>
      </rPr>
      <t>TAKPLATTA</t>
    </r>
  </si>
  <si>
    <r>
      <rPr>
        <sz val="11"/>
        <color theme="1"/>
        <rFont val="Calibri"/>
        <family val="2"/>
      </rPr>
      <t>TAGPLADE</t>
    </r>
  </si>
  <si>
    <r>
      <rPr>
        <sz val="11"/>
        <color theme="1"/>
        <rFont val="Calibri"/>
        <family val="2"/>
      </rPr>
      <t>TAKPLATE</t>
    </r>
  </si>
  <si>
    <t>KROVNA PLOČA</t>
  </si>
  <si>
    <t>RETOURNIERUNG PER FAX:</t>
  </si>
  <si>
    <t>RETURN BY FAX:</t>
  </si>
  <si>
    <t>À RENVOYER PAR FAX :</t>
  </si>
  <si>
    <t>RESTITUIRE PER FAX:</t>
  </si>
  <si>
    <t>Zaslat zpět Faxem</t>
  </si>
  <si>
    <t>Nr zwrotny FAX:</t>
  </si>
  <si>
    <t>VÁLASZFAX:</t>
  </si>
  <si>
    <t>ODOSLAŤ SPÄŤ FAXOM:</t>
  </si>
  <si>
    <r>
      <rPr>
        <sz val="11"/>
        <color theme="1"/>
        <rFont val="Calibri"/>
        <family val="2"/>
      </rPr>
      <t>TERUGZENDEN PER FAX:</t>
    </r>
  </si>
  <si>
    <t>potrdilo na fax</t>
  </si>
  <si>
    <r>
      <rPr>
        <sz val="11"/>
        <color theme="1"/>
        <rFont val="Calibri"/>
        <family val="2"/>
      </rPr>
      <t>RETURNERING VIA FAX:</t>
    </r>
  </si>
  <si>
    <r>
      <rPr>
        <sz val="11"/>
        <color theme="1"/>
        <rFont val="Calibri"/>
        <family val="2"/>
      </rPr>
      <t>RETURNERING PR. FAX:</t>
    </r>
  </si>
  <si>
    <r>
      <rPr>
        <sz val="11"/>
        <color theme="1"/>
        <rFont val="Calibri"/>
        <family val="2"/>
      </rPr>
      <t>RETUR PER FAKS:</t>
    </r>
  </si>
  <si>
    <t>POVRAT TELEFAKSOM:</t>
  </si>
  <si>
    <t>ODER EMAIL:</t>
  </si>
  <si>
    <t>OR EMAIL:</t>
  </si>
  <si>
    <t>OU PAR COURRIEL :</t>
  </si>
  <si>
    <t>O PER EMAIL:</t>
  </si>
  <si>
    <t>nebo e-mailem</t>
  </si>
  <si>
    <t>Adres EMAIL:</t>
  </si>
  <si>
    <t>VÁLASZ-EMAIL:</t>
  </si>
  <si>
    <t>ALEBO EMAILOM:</t>
  </si>
  <si>
    <r>
      <rPr>
        <sz val="11"/>
        <color theme="1"/>
        <rFont val="Calibri"/>
        <family val="2"/>
      </rPr>
      <t>OF E-MAIL:</t>
    </r>
  </si>
  <si>
    <t>ali email</t>
  </si>
  <si>
    <r>
      <rPr>
        <sz val="11"/>
        <color theme="1"/>
        <rFont val="Calibri"/>
        <family val="2"/>
      </rPr>
      <t>ELLER E-POST:</t>
    </r>
  </si>
  <si>
    <r>
      <rPr>
        <sz val="11"/>
        <color theme="1"/>
        <rFont val="Calibri"/>
        <family val="2"/>
      </rPr>
      <t>ELLER E-MAIL:</t>
    </r>
  </si>
  <si>
    <t>ILI E-POŠTOM:</t>
  </si>
  <si>
    <t>Date:</t>
  </si>
  <si>
    <t>Date :</t>
  </si>
  <si>
    <t>Data:</t>
  </si>
  <si>
    <t>Dátum:</t>
  </si>
  <si>
    <r>
      <rPr>
        <sz val="11"/>
        <color theme="1"/>
        <rFont val="Calibri"/>
        <family val="2"/>
      </rPr>
      <t>Datum:</t>
    </r>
  </si>
  <si>
    <t>datum</t>
  </si>
  <si>
    <r>
      <rPr>
        <sz val="11"/>
        <color theme="1"/>
        <rFont val="Calibri"/>
        <family val="2"/>
      </rPr>
      <t>Dato:</t>
    </r>
  </si>
  <si>
    <t>Firma / Besteller:</t>
  </si>
  <si>
    <t>Company / Purchaser:</t>
  </si>
  <si>
    <t>Entreprise / Acheteur :</t>
  </si>
  <si>
    <t>Installatore / Committente:</t>
  </si>
  <si>
    <t>Firma / objednávající:</t>
  </si>
  <si>
    <t>Firma zamawiająca:</t>
  </si>
  <si>
    <t>Cég / megrendelő:</t>
  </si>
  <si>
    <t>Firma / objednávateľ:</t>
  </si>
  <si>
    <r>
      <rPr>
        <sz val="11"/>
        <color theme="1"/>
        <rFont val="Calibri"/>
        <family val="2"/>
      </rPr>
      <t>Bedrijf/besteller:</t>
    </r>
  </si>
  <si>
    <t>podjetje/naročnik</t>
  </si>
  <si>
    <r>
      <rPr>
        <sz val="11"/>
        <color theme="1"/>
        <rFont val="Calibri"/>
        <family val="2"/>
      </rPr>
      <t>Företag/beställare:</t>
    </r>
  </si>
  <si>
    <r>
      <rPr>
        <sz val="11"/>
        <color theme="1"/>
        <rFont val="Calibri"/>
        <family val="2"/>
      </rPr>
      <t>Firma / Bestiller:</t>
    </r>
  </si>
  <si>
    <r>
      <rPr>
        <sz val="11"/>
        <color theme="1"/>
        <rFont val="Calibri"/>
        <family val="2"/>
      </rPr>
      <t>Firma/bestiller:</t>
    </r>
  </si>
  <si>
    <t>Tvrtka / naručitelj:</t>
  </si>
  <si>
    <t>Name:</t>
  </si>
  <si>
    <t>Nom :</t>
  </si>
  <si>
    <t>Nome:</t>
  </si>
  <si>
    <t>Jméno:</t>
  </si>
  <si>
    <t>Nazwa:</t>
  </si>
  <si>
    <t>Név:</t>
  </si>
  <si>
    <t>Meno:</t>
  </si>
  <si>
    <r>
      <rPr>
        <sz val="11"/>
        <color theme="1"/>
        <rFont val="Calibri"/>
        <family val="2"/>
      </rPr>
      <t>Naam:</t>
    </r>
  </si>
  <si>
    <t>ime</t>
  </si>
  <si>
    <r>
      <rPr>
        <sz val="11"/>
        <color theme="1"/>
        <rFont val="Calibri"/>
        <family val="2"/>
      </rPr>
      <t>Namn:</t>
    </r>
  </si>
  <si>
    <r>
      <rPr>
        <sz val="11"/>
        <color theme="1"/>
        <rFont val="Calibri"/>
        <family val="2"/>
      </rPr>
      <t>Navn:</t>
    </r>
  </si>
  <si>
    <t>Ime:</t>
  </si>
  <si>
    <t>Straße:</t>
  </si>
  <si>
    <t>Street:</t>
  </si>
  <si>
    <t>Adresse :</t>
  </si>
  <si>
    <t>Via:</t>
  </si>
  <si>
    <t>Ulice:</t>
  </si>
  <si>
    <t>Ulica:</t>
  </si>
  <si>
    <t>Utca:</t>
  </si>
  <si>
    <r>
      <rPr>
        <sz val="11"/>
        <color theme="1"/>
        <rFont val="Calibri"/>
        <family val="2"/>
      </rPr>
      <t>Straat:</t>
    </r>
  </si>
  <si>
    <t>ulica</t>
  </si>
  <si>
    <r>
      <rPr>
        <sz val="11"/>
        <color theme="1"/>
        <rFont val="Calibri"/>
        <family val="2"/>
      </rPr>
      <t>Gatuadress:</t>
    </r>
  </si>
  <si>
    <r>
      <rPr>
        <sz val="11"/>
        <color theme="1"/>
        <rFont val="Calibri"/>
        <family val="2"/>
      </rPr>
      <t>Gade:</t>
    </r>
  </si>
  <si>
    <r>
      <rPr>
        <sz val="11"/>
        <color theme="1"/>
        <rFont val="Calibri"/>
        <family val="2"/>
      </rPr>
      <t>Gate:</t>
    </r>
  </si>
  <si>
    <t>Ort:</t>
  </si>
  <si>
    <t>City:</t>
  </si>
  <si>
    <t>Ville :</t>
  </si>
  <si>
    <t>Località:</t>
  </si>
  <si>
    <t>Obec:</t>
  </si>
  <si>
    <t>Miasto:</t>
  </si>
  <si>
    <t>Heység:</t>
  </si>
  <si>
    <r>
      <rPr>
        <sz val="11"/>
        <color theme="1"/>
        <rFont val="Calibri"/>
        <family val="2"/>
      </rPr>
      <t>Plaats:</t>
    </r>
  </si>
  <si>
    <t>kraj</t>
  </si>
  <si>
    <r>
      <rPr>
        <sz val="11"/>
        <color theme="1"/>
        <rFont val="Calibri"/>
        <family val="2"/>
      </rPr>
      <t>Ort:</t>
    </r>
  </si>
  <si>
    <r>
      <rPr>
        <sz val="11"/>
        <color theme="1"/>
        <rFont val="Calibri"/>
        <family val="2"/>
      </rPr>
      <t>Sted:</t>
    </r>
  </si>
  <si>
    <t>Mjesto:</t>
  </si>
  <si>
    <t>Ansprechpartner:</t>
  </si>
  <si>
    <t>Contact:</t>
  </si>
  <si>
    <t>Interlocuteur :</t>
  </si>
  <si>
    <t>Referente:</t>
  </si>
  <si>
    <t>Kontakt:</t>
  </si>
  <si>
    <t>Kapcsolattartó:</t>
  </si>
  <si>
    <r>
      <rPr>
        <sz val="11"/>
        <color theme="1"/>
        <rFont val="Calibri"/>
        <family val="2"/>
      </rPr>
      <t>Contactpersoon:</t>
    </r>
  </si>
  <si>
    <t>Kontaktna oseba</t>
  </si>
  <si>
    <r>
      <rPr>
        <sz val="11"/>
        <color theme="1"/>
        <rFont val="Calibri"/>
        <family val="2"/>
      </rPr>
      <t>Kontaktperson:</t>
    </r>
  </si>
  <si>
    <t>Kontakt osoba:</t>
  </si>
  <si>
    <t>Telefon:</t>
  </si>
  <si>
    <t>Phone:</t>
  </si>
  <si>
    <t>Téléphone :</t>
  </si>
  <si>
    <t>Telefono:</t>
  </si>
  <si>
    <t>Telefón:</t>
  </si>
  <si>
    <r>
      <rPr>
        <sz val="11"/>
        <color theme="1"/>
        <rFont val="Calibri"/>
        <family val="2"/>
      </rPr>
      <t>Telefoon:</t>
    </r>
  </si>
  <si>
    <t>telefon</t>
  </si>
  <si>
    <r>
      <rPr>
        <sz val="11"/>
        <color theme="1"/>
        <rFont val="Calibri"/>
        <family val="2"/>
      </rPr>
      <t>Telefon:</t>
    </r>
  </si>
  <si>
    <t>eMail:</t>
  </si>
  <si>
    <t>Email:</t>
  </si>
  <si>
    <t>Courriel :</t>
  </si>
  <si>
    <t>email:</t>
  </si>
  <si>
    <t>e-mail:</t>
  </si>
  <si>
    <r>
      <rPr>
        <sz val="11"/>
        <color theme="1"/>
        <rFont val="Calibri"/>
        <family val="2"/>
      </rPr>
      <t>E-mail:</t>
    </r>
  </si>
  <si>
    <t>email</t>
  </si>
  <si>
    <r>
      <rPr>
        <sz val="11"/>
        <color theme="1"/>
        <rFont val="Calibri"/>
        <family val="2"/>
      </rPr>
      <t>E-post:</t>
    </r>
  </si>
  <si>
    <t>e-pošta:</t>
  </si>
  <si>
    <t>Lieferadresse:</t>
  </si>
  <si>
    <t>Delivery address:</t>
  </si>
  <si>
    <t>Adresse de livraison :</t>
  </si>
  <si>
    <t>Indirizzo di consegna:</t>
  </si>
  <si>
    <t>Dodací adresa:</t>
  </si>
  <si>
    <t>Adres dostawy:</t>
  </si>
  <si>
    <t>Szállítási cím:</t>
  </si>
  <si>
    <t>Dodacia adresa:</t>
  </si>
  <si>
    <r>
      <rPr>
        <sz val="11"/>
        <color theme="1"/>
        <rFont val="Calibri"/>
        <family val="2"/>
      </rPr>
      <t>Leveringsadres:</t>
    </r>
  </si>
  <si>
    <t>naslov za dostavo</t>
  </si>
  <si>
    <r>
      <rPr>
        <sz val="11"/>
        <color theme="1"/>
        <rFont val="Calibri"/>
        <family val="2"/>
      </rPr>
      <t>Leveransadress:</t>
    </r>
  </si>
  <si>
    <r>
      <rPr>
        <sz val="11"/>
        <color theme="1"/>
        <rFont val="Calibri"/>
        <family val="2"/>
      </rPr>
      <t>Leveringsadresse:</t>
    </r>
  </si>
  <si>
    <t>Adresa za dostavu:</t>
  </si>
  <si>
    <t>Kommission:</t>
  </si>
  <si>
    <t>Order:</t>
  </si>
  <si>
    <t>Commande :</t>
  </si>
  <si>
    <t>Riferimento:</t>
  </si>
  <si>
    <t>Komise:</t>
  </si>
  <si>
    <t>Zamówienie:</t>
  </si>
  <si>
    <t>Komissió:</t>
  </si>
  <si>
    <t>Komisia:</t>
  </si>
  <si>
    <r>
      <rPr>
        <sz val="11"/>
        <color theme="1"/>
        <rFont val="Calibri"/>
        <family val="2"/>
      </rPr>
      <t>Groep:</t>
    </r>
  </si>
  <si>
    <t>Poslovalnica</t>
  </si>
  <si>
    <r>
      <rPr>
        <sz val="11"/>
        <color theme="1"/>
        <rFont val="Calibri"/>
        <family val="2"/>
      </rPr>
      <t>Kommission:</t>
    </r>
  </si>
  <si>
    <r>
      <rPr>
        <sz val="11"/>
        <color theme="1"/>
        <rFont val="Calibri"/>
        <family val="2"/>
      </rPr>
      <t>Kommisjon:</t>
    </r>
  </si>
  <si>
    <t>Komisiona prodaja:</t>
  </si>
  <si>
    <t>Ulica</t>
  </si>
  <si>
    <t>Helység:</t>
  </si>
  <si>
    <t>Oberfläche:</t>
  </si>
  <si>
    <t>Surface:</t>
  </si>
  <si>
    <t>Surface :</t>
  </si>
  <si>
    <t>Finitura superficiale:</t>
  </si>
  <si>
    <t>Povrchová úprava:</t>
  </si>
  <si>
    <t>Powierzchna:</t>
  </si>
  <si>
    <t>Felület:</t>
  </si>
  <si>
    <r>
      <rPr>
        <sz val="11"/>
        <color theme="1"/>
        <rFont val="Calibri"/>
        <family val="2"/>
      </rPr>
      <t>Oppervlak:</t>
    </r>
  </si>
  <si>
    <t>površinska obdelava</t>
  </si>
  <si>
    <r>
      <rPr>
        <sz val="11"/>
        <color theme="1"/>
        <rFont val="Calibri"/>
        <family val="2"/>
      </rPr>
      <t>Ytbeläggning:</t>
    </r>
  </si>
  <si>
    <r>
      <rPr>
        <sz val="11"/>
        <color theme="1"/>
        <rFont val="Calibri"/>
        <family val="2"/>
      </rPr>
      <t>Overflade:</t>
    </r>
  </si>
  <si>
    <r>
      <rPr>
        <sz val="11"/>
        <color theme="1"/>
        <rFont val="Calibri"/>
        <family val="2"/>
      </rPr>
      <t>Overflate:</t>
    </r>
  </si>
  <si>
    <t>Površina:</t>
  </si>
  <si>
    <t>goffrata</t>
  </si>
  <si>
    <t>Stucco</t>
  </si>
  <si>
    <t>stukkó</t>
  </si>
  <si>
    <r>
      <rPr>
        <sz val="11"/>
        <color theme="1"/>
        <rFont val="Calibri"/>
        <family val="2"/>
      </rPr>
      <t>stucco</t>
    </r>
  </si>
  <si>
    <r>
      <rPr>
        <sz val="11"/>
        <color theme="1"/>
        <rFont val="Calibri"/>
        <family val="2"/>
      </rPr>
      <t>stuckatur</t>
    </r>
  </si>
  <si>
    <t>smooth</t>
  </si>
  <si>
    <t>lisse</t>
  </si>
  <si>
    <t>liscia</t>
  </si>
  <si>
    <t>Hladký</t>
  </si>
  <si>
    <t>Gładka</t>
  </si>
  <si>
    <t>sima</t>
  </si>
  <si>
    <r>
      <rPr>
        <sz val="11"/>
        <color theme="1"/>
        <rFont val="Calibri"/>
        <family val="2"/>
      </rPr>
      <t>glad</t>
    </r>
  </si>
  <si>
    <t>gladka</t>
  </si>
  <si>
    <r>
      <rPr>
        <sz val="11"/>
        <color theme="1"/>
        <rFont val="Calibri"/>
        <family val="2"/>
      </rPr>
      <t>slät</t>
    </r>
  </si>
  <si>
    <r>
      <rPr>
        <sz val="11"/>
        <color theme="1"/>
        <rFont val="Calibri"/>
        <family val="2"/>
      </rPr>
      <t>glat</t>
    </r>
  </si>
  <si>
    <r>
      <rPr>
        <sz val="11"/>
        <color theme="1"/>
        <rFont val="Calibri"/>
        <family val="2"/>
      </rPr>
      <t>glatt</t>
    </r>
  </si>
  <si>
    <t>glatko</t>
  </si>
  <si>
    <t>Mengen in:</t>
  </si>
  <si>
    <t>Quantities in:</t>
  </si>
  <si>
    <t>Quantités en :</t>
  </si>
  <si>
    <t>Quantità espresse in:</t>
  </si>
  <si>
    <t>Množství v:</t>
  </si>
  <si>
    <t>Ilość:</t>
  </si>
  <si>
    <t>Mennyiségi egység:</t>
  </si>
  <si>
    <t>Množstvo v:</t>
  </si>
  <si>
    <r>
      <rPr>
        <sz val="11"/>
        <color theme="1"/>
        <rFont val="Calibri"/>
        <family val="2"/>
      </rPr>
      <t>Aantallen in:</t>
    </r>
  </si>
  <si>
    <t>Količina v :</t>
  </si>
  <si>
    <r>
      <rPr>
        <sz val="11"/>
        <color theme="1"/>
        <rFont val="Calibri"/>
        <family val="2"/>
      </rPr>
      <t>Mängder i:</t>
    </r>
  </si>
  <si>
    <r>
      <rPr>
        <sz val="11"/>
        <color theme="1"/>
        <rFont val="Calibri"/>
        <family val="2"/>
      </rPr>
      <t>Mængder i:</t>
    </r>
  </si>
  <si>
    <r>
      <rPr>
        <sz val="11"/>
        <color theme="1"/>
        <rFont val="Calibri"/>
        <family val="2"/>
      </rPr>
      <t>Mengder i:</t>
    </r>
  </si>
  <si>
    <t>Količine u:</t>
  </si>
  <si>
    <t>PU</t>
  </si>
  <si>
    <t>UE</t>
  </si>
  <si>
    <t>Confezione</t>
  </si>
  <si>
    <t>Celé balení:</t>
  </si>
  <si>
    <t>CSE</t>
  </si>
  <si>
    <t>Celé balenie:</t>
  </si>
  <si>
    <r>
      <rPr>
        <sz val="11"/>
        <color theme="1"/>
        <rFont val="Calibri"/>
        <family val="2"/>
      </rPr>
      <t>VPE</t>
    </r>
  </si>
  <si>
    <t>Enota</t>
  </si>
  <si>
    <r>
      <rPr>
        <sz val="11"/>
        <color theme="1"/>
        <rFont val="Calibri"/>
        <family val="2"/>
      </rPr>
      <t>Förpackningsenhet</t>
    </r>
  </si>
  <si>
    <r>
      <rPr>
        <sz val="11"/>
        <color theme="1"/>
        <rFont val="Calibri"/>
        <family val="2"/>
      </rPr>
      <t>Pakkeenhed</t>
    </r>
  </si>
  <si>
    <r>
      <rPr>
        <sz val="11"/>
        <color theme="1"/>
        <rFont val="Calibri"/>
        <family val="2"/>
      </rPr>
      <t>FPE</t>
    </r>
  </si>
  <si>
    <t>PA</t>
  </si>
  <si>
    <t>pc.</t>
  </si>
  <si>
    <t>Pezzi</t>
  </si>
  <si>
    <t>Kusů:</t>
  </si>
  <si>
    <t>szt</t>
  </si>
  <si>
    <t>db</t>
  </si>
  <si>
    <t>Kusov:</t>
  </si>
  <si>
    <r>
      <rPr>
        <sz val="11"/>
        <color theme="1"/>
        <rFont val="Calibri"/>
        <family val="2"/>
      </rPr>
      <t>STKS</t>
    </r>
  </si>
  <si>
    <t>KOS</t>
  </si>
  <si>
    <r>
      <rPr>
        <sz val="11"/>
        <color theme="1"/>
        <rFont val="Calibri"/>
        <family val="2"/>
      </rPr>
      <t>st.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</si>
  <si>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</si>
  <si>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Stk.</t>
    </r>
  </si>
  <si>
    <t>KOM</t>
  </si>
  <si>
    <t>Farbe:</t>
  </si>
  <si>
    <t>Colour:</t>
  </si>
  <si>
    <t>Couleur:</t>
  </si>
  <si>
    <t>Colore:</t>
  </si>
  <si>
    <t>Barva:</t>
  </si>
  <si>
    <t>Kolor:</t>
  </si>
  <si>
    <t>Szín:</t>
  </si>
  <si>
    <t>Farba:</t>
  </si>
  <si>
    <r>
      <rPr>
        <sz val="11"/>
        <color theme="1"/>
        <rFont val="Calibri"/>
        <family val="2"/>
      </rPr>
      <t>Kleur:</t>
    </r>
  </si>
  <si>
    <t>barva:</t>
  </si>
  <si>
    <r>
      <rPr>
        <sz val="11"/>
        <color theme="1"/>
        <rFont val="Calibri"/>
        <family val="2"/>
      </rPr>
      <t>Färg:</t>
    </r>
  </si>
  <si>
    <r>
      <rPr>
        <sz val="11"/>
        <color theme="1"/>
        <rFont val="Calibri"/>
        <family val="2"/>
      </rPr>
      <t>Farve:</t>
    </r>
  </si>
  <si>
    <r>
      <rPr>
        <sz val="11"/>
        <color theme="1"/>
        <rFont val="Calibri"/>
        <family val="2"/>
      </rPr>
      <t>Farge:</t>
    </r>
  </si>
  <si>
    <t>Boja:</t>
  </si>
  <si>
    <t>01 P.10 braun</t>
  </si>
  <si>
    <t>01 P.10 brown</t>
  </si>
  <si>
    <t>01 P.10 brun</t>
  </si>
  <si>
    <t>01 P.10 Marrone</t>
  </si>
  <si>
    <t>01 P.10 tmavě hnědá</t>
  </si>
  <si>
    <t>01 P.10 brązowy</t>
  </si>
  <si>
    <t>01 P.10 barna</t>
  </si>
  <si>
    <t>01 P.10 hnedá</t>
  </si>
  <si>
    <r>
      <rPr>
        <sz val="11"/>
        <color theme="1"/>
        <rFont val="Calibri"/>
        <family val="2"/>
      </rPr>
      <t>01 P.10 bruin</t>
    </r>
  </si>
  <si>
    <t>01 P.10 anodik rjava</t>
  </si>
  <si>
    <r>
      <rPr>
        <sz val="11"/>
        <color theme="1"/>
        <rFont val="Calibri"/>
        <family val="2"/>
      </rPr>
      <t>01 P.10 brun</t>
    </r>
  </si>
  <si>
    <t>01 P.10 smeđa</t>
  </si>
  <si>
    <t>02 P.10 anthrazit</t>
  </si>
  <si>
    <t>02 P.10 anthracite</t>
  </si>
  <si>
    <t>02 P.10 Antracite</t>
  </si>
  <si>
    <t>02 P.10 antracit</t>
  </si>
  <si>
    <t>02 P.10 antracyt</t>
  </si>
  <si>
    <t>02 P.10 antracitová</t>
  </si>
  <si>
    <r>
      <rPr>
        <sz val="11"/>
        <color theme="1"/>
        <rFont val="Calibri"/>
        <family val="2"/>
      </rPr>
      <t>02 P.10 antraciet</t>
    </r>
  </si>
  <si>
    <t>02 P.10 antracitna</t>
  </si>
  <si>
    <r>
      <rPr>
        <sz val="11"/>
        <color theme="1"/>
        <rFont val="Calibri"/>
        <family val="2"/>
      </rPr>
      <t>02 P.10 antracit</t>
    </r>
  </si>
  <si>
    <r>
      <rPr>
        <sz val="11"/>
        <color theme="1"/>
        <rFont val="Calibri"/>
        <family val="2"/>
      </rPr>
      <t>02 P.10 antrazit</t>
    </r>
  </si>
  <si>
    <r>
      <rPr>
        <sz val="11"/>
        <color theme="1"/>
        <rFont val="Calibri"/>
        <family val="2"/>
      </rPr>
      <t>02 P.10 antrasitt</t>
    </r>
  </si>
  <si>
    <t>03 P.10 schwarz</t>
  </si>
  <si>
    <t>03 P.10 black</t>
  </si>
  <si>
    <t>03 P.10 noir</t>
  </si>
  <si>
    <t>03 P.10 Nero</t>
  </si>
  <si>
    <t>03 P.10 černá</t>
  </si>
  <si>
    <t>03 P.10 czarny</t>
  </si>
  <si>
    <t>03 P.10 fekete</t>
  </si>
  <si>
    <t>03 P.10 čierna</t>
  </si>
  <si>
    <r>
      <rPr>
        <sz val="11"/>
        <color theme="1"/>
        <rFont val="Calibri"/>
        <family val="2"/>
      </rPr>
      <t>03 P.10 zwart</t>
    </r>
  </si>
  <si>
    <t>03 P.10 črna</t>
  </si>
  <si>
    <r>
      <rPr>
        <sz val="11"/>
        <color theme="1"/>
        <rFont val="Calibri"/>
        <family val="2"/>
      </rPr>
      <t>03 P.10 svart</t>
    </r>
  </si>
  <si>
    <r>
      <rPr>
        <sz val="11"/>
        <color theme="1"/>
        <rFont val="Calibri"/>
        <family val="2"/>
      </rPr>
      <t>03 P.10 sort</t>
    </r>
  </si>
  <si>
    <t>03 P.10 crna</t>
  </si>
  <si>
    <t>04 P.10 ziegelrot</t>
  </si>
  <si>
    <t>04 P.10 brick red</t>
  </si>
  <si>
    <t>04 P.10 rouge tuile</t>
  </si>
  <si>
    <t>04 P.10 Rosso cotto</t>
  </si>
  <si>
    <t>04 P.10 cihlově červená</t>
  </si>
  <si>
    <t>04 P.10 ceglasty</t>
  </si>
  <si>
    <t>04 P.10 téglavörös</t>
  </si>
  <si>
    <t>04 P.10 tehlovočervená</t>
  </si>
  <si>
    <r>
      <rPr>
        <sz val="11"/>
        <color theme="1"/>
        <rFont val="Calibri"/>
        <family val="2"/>
      </rPr>
      <t>04 P.10 dakpannenrood</t>
    </r>
  </si>
  <si>
    <t>04 P.10 bakreno rjava</t>
  </si>
  <si>
    <r>
      <rPr>
        <sz val="11"/>
        <color theme="1"/>
        <rFont val="Calibri"/>
        <family val="2"/>
      </rPr>
      <t>04 P.10 tegelröd</t>
    </r>
  </si>
  <si>
    <r>
      <rPr>
        <sz val="11"/>
        <color theme="1"/>
        <rFont val="Calibri"/>
        <family val="2"/>
      </rPr>
      <t>04 P.10 teglrød</t>
    </r>
  </si>
  <si>
    <r>
      <rPr>
        <sz val="11"/>
        <color theme="1"/>
        <rFont val="Calibri"/>
        <family val="2"/>
      </rPr>
      <t>04 P.10 teglsteinsrød</t>
    </r>
  </si>
  <si>
    <t>04 P.10 ciglasto crvena</t>
  </si>
  <si>
    <t>05 P.10 oxydrot</t>
  </si>
  <si>
    <t>05 P.10 oxide red</t>
  </si>
  <si>
    <t>05 P.10 rouge oxyde</t>
  </si>
  <si>
    <t>05 P.10 Rosso ossido</t>
  </si>
  <si>
    <t>05 P.10 tmavě červená</t>
  </si>
  <si>
    <t>05 P.10 czerwony</t>
  </si>
  <si>
    <t>05 P.10 rozsdavörös</t>
  </si>
  <si>
    <t>05 P.10 tmavočervená</t>
  </si>
  <si>
    <r>
      <rPr>
        <sz val="11"/>
        <color theme="1"/>
        <rFont val="Calibri"/>
        <family val="2"/>
      </rPr>
      <t>05 P.10 oxiderood</t>
    </r>
  </si>
  <si>
    <t>05 P.10 oksidno rdeča</t>
  </si>
  <si>
    <r>
      <rPr>
        <sz val="11"/>
        <color theme="1"/>
        <rFont val="Calibri"/>
        <family val="2"/>
      </rPr>
      <t>05 P.10 oxidröd</t>
    </r>
  </si>
  <si>
    <r>
      <rPr>
        <sz val="11"/>
        <color theme="1"/>
        <rFont val="Calibri"/>
        <family val="2"/>
      </rPr>
      <t>05 P.10 oxidrød</t>
    </r>
  </si>
  <si>
    <r>
      <rPr>
        <sz val="11"/>
        <color theme="1"/>
        <rFont val="Calibri"/>
        <family val="2"/>
      </rPr>
      <t>05 P.10 oksidrød</t>
    </r>
  </si>
  <si>
    <t>05 P.10 oksid crvena</t>
  </si>
  <si>
    <t>06 P.10 moosgrün</t>
  </si>
  <si>
    <t>06 P.10 moss green</t>
  </si>
  <si>
    <t>06 P.10 vert mousse</t>
  </si>
  <si>
    <t>06 P.10 Verde muschio</t>
  </si>
  <si>
    <t>06 P.10 mechově zelená</t>
  </si>
  <si>
    <t>06 P.10 zieleń mchu</t>
  </si>
  <si>
    <t>06 P.10 mohazöld</t>
  </si>
  <si>
    <t>06 P.10 machovozelená</t>
  </si>
  <si>
    <r>
      <rPr>
        <sz val="11"/>
        <color theme="1"/>
        <rFont val="Calibri"/>
        <family val="2"/>
      </rPr>
      <t>06 P.10 mosgroen</t>
    </r>
  </si>
  <si>
    <t>06 P.10 mahovo zelena</t>
  </si>
  <si>
    <r>
      <rPr>
        <sz val="11"/>
        <color theme="1"/>
        <rFont val="Calibri"/>
        <family val="2"/>
      </rPr>
      <t>06 P.10 mossgrön</t>
    </r>
  </si>
  <si>
    <r>
      <rPr>
        <sz val="11"/>
        <color theme="1"/>
        <rFont val="Calibri"/>
        <family val="2"/>
      </rPr>
      <t>06 P.10 mosgrøn</t>
    </r>
  </si>
  <si>
    <r>
      <rPr>
        <sz val="11"/>
        <color theme="1"/>
        <rFont val="Calibri"/>
        <family val="2"/>
      </rPr>
      <t>06 P.10 mosegrønn</t>
    </r>
  </si>
  <si>
    <t>06 P.10 mahovinasto zelena</t>
  </si>
  <si>
    <t xml:space="preserve">07 P.10 hellgrau </t>
  </si>
  <si>
    <t>07 P.10 light grey</t>
  </si>
  <si>
    <t>07 P.10 gris souris</t>
  </si>
  <si>
    <t>07 P.10 Grigio chiaro</t>
  </si>
  <si>
    <t>07 P.10 světle šedá</t>
  </si>
  <si>
    <t>07 P.10 jasnoszary</t>
  </si>
  <si>
    <t>07 P.10 világosszürke</t>
  </si>
  <si>
    <t>07 P.10 svetlošedá</t>
  </si>
  <si>
    <r>
      <rPr>
        <sz val="11"/>
        <color theme="1"/>
        <rFont val="Calibri"/>
        <family val="2"/>
      </rPr>
      <t xml:space="preserve">07 P.10 lichtgrijs </t>
    </r>
  </si>
  <si>
    <t>07 P.10 svetlo siva</t>
  </si>
  <si>
    <r>
      <rPr>
        <sz val="11"/>
        <color theme="1"/>
        <rFont val="Calibri"/>
        <family val="2"/>
      </rPr>
      <t xml:space="preserve">07 P.10 ljusgrå </t>
    </r>
  </si>
  <si>
    <r>
      <rPr>
        <sz val="11"/>
        <color theme="1"/>
        <rFont val="Calibri"/>
        <family val="2"/>
      </rPr>
      <t xml:space="preserve">07 P.10 lys grå </t>
    </r>
  </si>
  <si>
    <t xml:space="preserve">07 P.10 svijetlo siva </t>
  </si>
  <si>
    <t>11 P.10 nussbraun</t>
  </si>
  <si>
    <t>11 P.10 nut brown</t>
  </si>
  <si>
    <t>11 P.10 brun noisette</t>
  </si>
  <si>
    <t>11 P.10 Testa di moro</t>
  </si>
  <si>
    <t>11 P.10 oříšková</t>
  </si>
  <si>
    <t>11 P.10 orzechowy brąz</t>
  </si>
  <si>
    <t>11 P.10 mogyoróbarna</t>
  </si>
  <si>
    <t>11 P.10 orieškovohnedá</t>
  </si>
  <si>
    <r>
      <rPr>
        <sz val="11"/>
        <color theme="1"/>
        <rFont val="Calibri"/>
        <family val="2"/>
      </rPr>
      <t>11 P.10 notenkleurig</t>
    </r>
  </si>
  <si>
    <t>11 P.10 testa di moro</t>
  </si>
  <si>
    <r>
      <rPr>
        <sz val="11"/>
        <color theme="1"/>
        <rFont val="Calibri"/>
        <family val="2"/>
      </rPr>
      <t>11 P.10 nötbrun</t>
    </r>
  </si>
  <si>
    <r>
      <rPr>
        <sz val="11"/>
        <color theme="1"/>
        <rFont val="Calibri"/>
        <family val="2"/>
      </rPr>
      <t>11 P.10 nøddebrun</t>
    </r>
  </si>
  <si>
    <r>
      <rPr>
        <sz val="11"/>
        <color theme="1"/>
        <rFont val="Calibri"/>
        <family val="2"/>
      </rPr>
      <t>11 P.10 nøttebrun</t>
    </r>
  </si>
  <si>
    <t>11 P.10 orah smeđa</t>
  </si>
  <si>
    <t>43 P.10 steingrau</t>
  </si>
  <si>
    <t>43 P.10 stone grey</t>
  </si>
  <si>
    <t>43 P.10 gris pierre</t>
  </si>
  <si>
    <t>43 P.10 Grigio pietra</t>
  </si>
  <si>
    <t>43 P.10 břidlicová</t>
  </si>
  <si>
    <t>43 P.10 szary kamienny</t>
  </si>
  <si>
    <t>43 P.10 márványszürke</t>
  </si>
  <si>
    <t>43 P.10 kamenná šedá</t>
  </si>
  <si>
    <r>
      <rPr>
        <sz val="11"/>
        <color theme="1"/>
        <rFont val="Calibri"/>
        <family val="2"/>
      </rPr>
      <t>43 P.10 steengrijs</t>
    </r>
  </si>
  <si>
    <t>43 P.10 kamnito siva</t>
  </si>
  <si>
    <r>
      <rPr>
        <sz val="11"/>
        <color theme="1"/>
        <rFont val="Calibri"/>
        <family val="2"/>
      </rPr>
      <t>43 P.10 stengrå</t>
    </r>
  </si>
  <si>
    <r>
      <rPr>
        <sz val="11"/>
        <color theme="1"/>
        <rFont val="Calibri"/>
        <family val="2"/>
      </rPr>
      <t>43 P.10 steingrå</t>
    </r>
  </si>
  <si>
    <t>43 P.10 kameno siva</t>
  </si>
  <si>
    <t>13 naturblank</t>
  </si>
  <si>
    <t>13 plain aluminium</t>
  </si>
  <si>
    <t>13 aluminium naturel</t>
  </si>
  <si>
    <t>13 Alluminio naturale</t>
  </si>
  <si>
    <t>13 přírodní hliník</t>
  </si>
  <si>
    <t>13 naturalny</t>
  </si>
  <si>
    <t>13 natúr alumínium</t>
  </si>
  <si>
    <t>13 prírodný hliník</t>
  </si>
  <si>
    <r>
      <rPr>
        <sz val="11"/>
        <color theme="1"/>
        <rFont val="Calibri"/>
        <family val="2"/>
      </rPr>
      <t>13 natuurlijk blank</t>
    </r>
  </si>
  <si>
    <t>13 natur</t>
  </si>
  <si>
    <r>
      <rPr>
        <sz val="11"/>
        <color theme="1"/>
        <rFont val="Calibri"/>
        <family val="2"/>
      </rPr>
      <t>13 naturligt blank</t>
    </r>
  </si>
  <si>
    <r>
      <rPr>
        <sz val="11"/>
        <color theme="1"/>
        <rFont val="Calibri"/>
        <family val="2"/>
      </rPr>
      <t>13 naturblank</t>
    </r>
  </si>
  <si>
    <t>13 prirodni aluminij</t>
  </si>
  <si>
    <t>pulverbeschichtet</t>
  </si>
  <si>
    <t>powder-coated</t>
  </si>
  <si>
    <t>thermolaqué</t>
  </si>
  <si>
    <t>Verniciato a polvere</t>
  </si>
  <si>
    <t xml:space="preserve">práškově lakovaný </t>
  </si>
  <si>
    <t>malowanie proszkowe</t>
  </si>
  <si>
    <t>porszórt</t>
  </si>
  <si>
    <t>farbenie práškovaním</t>
  </si>
  <si>
    <r>
      <rPr>
        <sz val="11"/>
        <color theme="1"/>
        <rFont val="Calibri"/>
        <family val="2"/>
      </rPr>
      <t>geëpoxeerd</t>
    </r>
  </si>
  <si>
    <t>prašno barvano</t>
  </si>
  <si>
    <r>
      <rPr>
        <sz val="11"/>
        <color theme="1"/>
        <rFont val="Calibri"/>
        <family val="2"/>
      </rPr>
      <t>pulverlackerade</t>
    </r>
  </si>
  <si>
    <r>
      <rPr>
        <sz val="11"/>
        <color theme="1"/>
        <rFont val="Calibri"/>
        <family val="2"/>
      </rPr>
      <t>pulverbelagt</t>
    </r>
  </si>
  <si>
    <r>
      <rPr>
        <sz val="11"/>
        <color theme="1"/>
        <rFont val="Calibri"/>
        <family val="2"/>
      </rPr>
      <t>pulverlakkert</t>
    </r>
  </si>
  <si>
    <t>plastificirano prahom</t>
  </si>
  <si>
    <t>Farbe</t>
  </si>
  <si>
    <t>Colour</t>
  </si>
  <si>
    <t>Couleur</t>
  </si>
  <si>
    <t>Colore</t>
  </si>
  <si>
    <t>Kolor</t>
  </si>
  <si>
    <t>Farba</t>
  </si>
  <si>
    <r>
      <rPr>
        <sz val="11"/>
        <color theme="1"/>
        <rFont val="Calibri"/>
        <family val="2"/>
      </rPr>
      <t>Kleur</t>
    </r>
  </si>
  <si>
    <r>
      <rPr>
        <sz val="11"/>
        <color theme="1"/>
        <rFont val="Calibri"/>
        <family val="2"/>
      </rPr>
      <t>Färg</t>
    </r>
  </si>
  <si>
    <r>
      <rPr>
        <sz val="11"/>
        <color theme="1"/>
        <rFont val="Calibri"/>
        <family val="2"/>
      </rPr>
      <t>Farve</t>
    </r>
  </si>
  <si>
    <r>
      <rPr>
        <sz val="11"/>
        <color theme="1"/>
        <rFont val="Calibri"/>
        <family val="2"/>
      </rPr>
      <t>Farge</t>
    </r>
  </si>
  <si>
    <t>Boja</t>
  </si>
  <si>
    <t>Menge</t>
  </si>
  <si>
    <t>Quantity</t>
  </si>
  <si>
    <t>Quantité</t>
  </si>
  <si>
    <t>Quantità</t>
  </si>
  <si>
    <t>Množství</t>
  </si>
  <si>
    <t>Ilość</t>
  </si>
  <si>
    <t>Množstvo</t>
  </si>
  <si>
    <r>
      <rPr>
        <sz val="11"/>
        <color theme="1"/>
        <rFont val="Calibri"/>
        <family val="2"/>
      </rPr>
      <t>Aantal</t>
    </r>
  </si>
  <si>
    <r>
      <rPr>
        <sz val="11"/>
        <color theme="1"/>
        <rFont val="Calibri"/>
        <family val="2"/>
      </rPr>
      <t>Mängd</t>
    </r>
  </si>
  <si>
    <r>
      <rPr>
        <sz val="11"/>
        <color theme="1"/>
        <rFont val="Calibri"/>
        <family val="2"/>
      </rPr>
      <t>Mængde</t>
    </r>
  </si>
  <si>
    <r>
      <rPr>
        <sz val="11"/>
        <color theme="1"/>
        <rFont val="Calibri"/>
        <family val="2"/>
      </rPr>
      <t>Mengde</t>
    </r>
  </si>
  <si>
    <t>Količina</t>
  </si>
  <si>
    <t>Einheit</t>
  </si>
  <si>
    <t>Unit</t>
  </si>
  <si>
    <t>Unité</t>
  </si>
  <si>
    <t>UDM</t>
  </si>
  <si>
    <t>Jednotka</t>
  </si>
  <si>
    <t>egység</t>
  </si>
  <si>
    <r>
      <rPr>
        <sz val="11"/>
        <color theme="1"/>
        <rFont val="Calibri"/>
        <family val="2"/>
      </rPr>
      <t>Eenheid</t>
    </r>
  </si>
  <si>
    <t>enota</t>
  </si>
  <si>
    <r>
      <rPr>
        <sz val="11"/>
        <color theme="1"/>
        <rFont val="Calibri"/>
        <family val="2"/>
      </rPr>
      <t>Enhet</t>
    </r>
  </si>
  <si>
    <r>
      <rPr>
        <sz val="11"/>
        <color theme="1"/>
        <rFont val="Calibri"/>
        <family val="2"/>
      </rPr>
      <t>Enhed</t>
    </r>
  </si>
  <si>
    <t>Jedinica</t>
  </si>
  <si>
    <t>Abbildung</t>
  </si>
  <si>
    <t>Picture</t>
  </si>
  <si>
    <t>Illustration</t>
  </si>
  <si>
    <t>Figura</t>
  </si>
  <si>
    <t>Produkt</t>
  </si>
  <si>
    <t xml:space="preserve">Zdjęcie </t>
  </si>
  <si>
    <t>ábra</t>
  </si>
  <si>
    <r>
      <rPr>
        <sz val="11"/>
        <color theme="1"/>
        <rFont val="Calibri"/>
        <family val="2"/>
      </rPr>
      <t>Afbeelding</t>
    </r>
  </si>
  <si>
    <t>fotografija</t>
  </si>
  <si>
    <r>
      <rPr>
        <sz val="11"/>
        <color theme="1"/>
        <rFont val="Calibri"/>
        <family val="2"/>
      </rPr>
      <t>Bild</t>
    </r>
  </si>
  <si>
    <r>
      <rPr>
        <sz val="11"/>
        <color theme="1"/>
        <rFont val="Calibri"/>
        <family val="2"/>
      </rPr>
      <t>Illustration</t>
    </r>
  </si>
  <si>
    <r>
      <rPr>
        <sz val="11"/>
        <color theme="1"/>
        <rFont val="Calibri"/>
        <family val="2"/>
      </rPr>
      <t>Illustrasjon</t>
    </r>
  </si>
  <si>
    <t>Slika</t>
  </si>
  <si>
    <t>Bezeichnung</t>
  </si>
  <si>
    <t>Name</t>
  </si>
  <si>
    <t>Désignation</t>
  </si>
  <si>
    <t>Descrizione</t>
  </si>
  <si>
    <t>Označení</t>
  </si>
  <si>
    <t>Nazwa</t>
  </si>
  <si>
    <t>megnevezés</t>
  </si>
  <si>
    <t>Označenie</t>
  </si>
  <si>
    <r>
      <rPr>
        <sz val="11"/>
        <color theme="1"/>
        <rFont val="Calibri"/>
        <family val="2"/>
      </rPr>
      <t>Benaming</t>
    </r>
  </si>
  <si>
    <t>opis</t>
  </si>
  <si>
    <r>
      <rPr>
        <sz val="11"/>
        <color theme="1"/>
        <rFont val="Calibri"/>
        <family val="2"/>
      </rPr>
      <t>Beteckning</t>
    </r>
  </si>
  <si>
    <r>
      <rPr>
        <sz val="11"/>
        <color theme="1"/>
        <rFont val="Calibri"/>
        <family val="2"/>
      </rPr>
      <t>Betegnelse</t>
    </r>
  </si>
  <si>
    <t>Oznaka</t>
  </si>
  <si>
    <t xml:space="preserve">Celé balení </t>
  </si>
  <si>
    <t>Celé balenie</t>
  </si>
  <si>
    <t xml:space="preserve">Enota </t>
  </si>
  <si>
    <t>Total</t>
  </si>
  <si>
    <t>Totale</t>
  </si>
  <si>
    <t>Celkem</t>
  </si>
  <si>
    <t>Suma</t>
  </si>
  <si>
    <t>összesen</t>
  </si>
  <si>
    <t>Celkom</t>
  </si>
  <si>
    <r>
      <rPr>
        <sz val="11"/>
        <color theme="1"/>
        <rFont val="Calibri"/>
        <family val="2"/>
      </rPr>
      <t>Totaal</t>
    </r>
  </si>
  <si>
    <t>skupaj</t>
  </si>
  <si>
    <r>
      <rPr>
        <sz val="11"/>
        <color theme="1"/>
        <rFont val="Calibri"/>
        <family val="2"/>
      </rPr>
      <t>Totalt</t>
    </r>
  </si>
  <si>
    <r>
      <rPr>
        <sz val="11"/>
        <color theme="1"/>
        <rFont val="Calibri"/>
        <family val="2"/>
      </rPr>
      <t>I alt</t>
    </r>
  </si>
  <si>
    <t>Ukupno</t>
  </si>
  <si>
    <t>Eventual</t>
  </si>
  <si>
    <t>Optionally</t>
  </si>
  <si>
    <t>Éventuellement</t>
  </si>
  <si>
    <t>Eventuale</t>
  </si>
  <si>
    <t xml:space="preserve">Případně </t>
  </si>
  <si>
    <t>Opcjonalnie</t>
  </si>
  <si>
    <t>esetleg</t>
  </si>
  <si>
    <t>Prípadne</t>
  </si>
  <si>
    <r>
      <rPr>
        <sz val="11"/>
        <color theme="1"/>
        <rFont val="Calibri"/>
        <family val="2"/>
      </rPr>
      <t>Eventueel</t>
    </r>
  </si>
  <si>
    <t>opcijsko</t>
  </si>
  <si>
    <r>
      <rPr>
        <sz val="11"/>
        <color theme="1"/>
        <rFont val="Calibri"/>
        <family val="2"/>
      </rPr>
      <t>Eventuellt</t>
    </r>
  </si>
  <si>
    <r>
      <rPr>
        <sz val="11"/>
        <color theme="1"/>
        <rFont val="Calibri"/>
        <family val="2"/>
      </rPr>
      <t>Eventual</t>
    </r>
  </si>
  <si>
    <r>
      <rPr>
        <sz val="11"/>
        <color theme="1"/>
        <rFont val="Calibri"/>
        <family val="2"/>
      </rPr>
      <t>Ekstra</t>
    </r>
  </si>
  <si>
    <t>Eventualno</t>
  </si>
  <si>
    <t>m²</t>
  </si>
  <si>
    <r>
      <rPr>
        <sz val="11"/>
        <color theme="1"/>
        <rFont val="Calibri"/>
        <family val="2"/>
      </rPr>
      <t>m²</t>
    </r>
  </si>
  <si>
    <t>m</t>
  </si>
  <si>
    <t>ml</t>
  </si>
  <si>
    <t>bm</t>
  </si>
  <si>
    <t>fm</t>
  </si>
  <si>
    <r>
      <rPr>
        <sz val="11"/>
        <color theme="1"/>
        <rFont val="Calibri"/>
        <family val="2"/>
      </rPr>
      <t>m</t>
    </r>
    <r>
      <rPr>
        <vertAlign val="superscript"/>
        <sz val="11"/>
        <color theme="1"/>
        <rFont val="Calibri"/>
        <family val="2"/>
      </rPr>
      <t>1</t>
    </r>
  </si>
  <si>
    <t>tekoči meter</t>
  </si>
  <si>
    <r>
      <rPr>
        <sz val="11"/>
        <color theme="1"/>
        <rFont val="Calibri"/>
        <family val="2"/>
      </rPr>
      <t>lpm</t>
    </r>
  </si>
  <si>
    <r>
      <rPr>
        <sz val="11"/>
        <color theme="1"/>
        <rFont val="Calibri"/>
        <family val="2"/>
      </rPr>
      <t>lbm</t>
    </r>
  </si>
  <si>
    <r>
      <rPr>
        <sz val="11"/>
        <color theme="1"/>
        <rFont val="Calibri"/>
        <family val="2"/>
      </rPr>
      <t>lm</t>
    </r>
  </si>
  <si>
    <t>d/m</t>
  </si>
  <si>
    <t>Pz</t>
  </si>
  <si>
    <t>ks</t>
  </si>
  <si>
    <t>szt..</t>
  </si>
  <si>
    <t>kos</t>
  </si>
  <si>
    <t>Karton</t>
  </si>
  <si>
    <t>box</t>
  </si>
  <si>
    <t>carton</t>
  </si>
  <si>
    <t>Cartone</t>
  </si>
  <si>
    <t>Krabice</t>
  </si>
  <si>
    <t>opak.</t>
  </si>
  <si>
    <t>doboz</t>
  </si>
  <si>
    <t>Krabica</t>
  </si>
  <si>
    <r>
      <rPr>
        <sz val="11"/>
        <color theme="1"/>
        <rFont val="Calibri"/>
        <family val="2"/>
      </rPr>
      <t>Doos</t>
    </r>
  </si>
  <si>
    <t>škatla</t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</si>
  <si>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</si>
  <si>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Karton</t>
    </r>
  </si>
  <si>
    <r>
      <rPr>
        <sz val="11"/>
        <color theme="1"/>
        <rFont val="Calibri"/>
        <family val="2"/>
      </rPr>
      <t>Kartong</t>
    </r>
  </si>
  <si>
    <t>Kutija</t>
  </si>
  <si>
    <t>kg</t>
  </si>
  <si>
    <t>Kg</t>
  </si>
  <si>
    <r>
      <rPr>
        <sz val="11"/>
        <color theme="1"/>
        <rFont val="Calibri"/>
        <family val="2"/>
      </rPr>
      <t>kg</t>
    </r>
  </si>
  <si>
    <t>Pkt</t>
  </si>
  <si>
    <t>package</t>
  </si>
  <si>
    <t>paquet</t>
  </si>
  <si>
    <t>CF</t>
  </si>
  <si>
    <t>Balení</t>
  </si>
  <si>
    <t>csomag</t>
  </si>
  <si>
    <t>Balenie</t>
  </si>
  <si>
    <r>
      <rPr>
        <sz val="11"/>
        <color theme="1"/>
        <rFont val="Calibri"/>
        <family val="2"/>
      </rPr>
      <t>Pkt</t>
    </r>
  </si>
  <si>
    <t>pakiranje</t>
  </si>
  <si>
    <r>
      <rPr>
        <sz val="11"/>
        <color theme="1"/>
        <rFont val="Calibri"/>
        <family val="2"/>
      </rPr>
      <t>paket</t>
    </r>
  </si>
  <si>
    <r>
      <rPr>
        <sz val="11"/>
        <color theme="1"/>
        <rFont val="Calibri"/>
        <family val="2"/>
      </rPr>
      <t>Pkt.</t>
    </r>
  </si>
  <si>
    <r>
      <rPr>
        <sz val="11"/>
        <color theme="1"/>
        <rFont val="Calibri"/>
        <family val="2"/>
      </rPr>
      <t>Pakke</t>
    </r>
  </si>
  <si>
    <t>Pak.</t>
  </si>
  <si>
    <t>Set</t>
  </si>
  <si>
    <t>kit</t>
  </si>
  <si>
    <t>Kit</t>
  </si>
  <si>
    <t>Sada</t>
  </si>
  <si>
    <r>
      <rPr>
        <sz val="11"/>
        <color theme="1"/>
        <rFont val="Calibri"/>
        <family val="2"/>
      </rPr>
      <t>Set</t>
    </r>
  </si>
  <si>
    <t>set</t>
  </si>
  <si>
    <r>
      <rPr>
        <sz val="11"/>
        <color theme="1"/>
        <rFont val="Calibri"/>
        <family val="2"/>
      </rPr>
      <t>sats</t>
    </r>
  </si>
  <si>
    <r>
      <rPr>
        <sz val="11"/>
        <color theme="1"/>
        <rFont val="Calibri"/>
        <family val="2"/>
      </rPr>
      <t>Sæt</t>
    </r>
  </si>
  <si>
    <r>
      <rPr>
        <sz val="11"/>
        <color theme="1"/>
        <rFont val="Calibri"/>
        <family val="2"/>
      </rPr>
      <t>Sett</t>
    </r>
  </si>
  <si>
    <t>Kompl.</t>
  </si>
  <si>
    <t>Rolle</t>
  </si>
  <si>
    <t>roll</t>
  </si>
  <si>
    <t>bobine</t>
  </si>
  <si>
    <t>Rotolo</t>
  </si>
  <si>
    <t>Svitek</t>
  </si>
  <si>
    <t>rolka</t>
  </si>
  <si>
    <t>tekercs</t>
  </si>
  <si>
    <t>Zvitok</t>
  </si>
  <si>
    <r>
      <rPr>
        <sz val="11"/>
        <color theme="1"/>
        <rFont val="Calibri"/>
        <family val="2"/>
      </rPr>
      <t>Rol</t>
    </r>
  </si>
  <si>
    <t>kolut</t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</si>
  <si>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</si>
  <si>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</si>
  <si>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</t>
    </r>
  </si>
  <si>
    <t>Kolut</t>
  </si>
  <si>
    <t>Rollen</t>
  </si>
  <si>
    <t>rolls</t>
  </si>
  <si>
    <t>bobines</t>
  </si>
  <si>
    <t>Rotoli</t>
  </si>
  <si>
    <t>Svitky</t>
  </si>
  <si>
    <t>rolki</t>
  </si>
  <si>
    <t>tekercsek</t>
  </si>
  <si>
    <t>Zvitky</t>
  </si>
  <si>
    <r>
      <rPr>
        <sz val="11"/>
        <color theme="1"/>
        <rFont val="Calibri"/>
        <family val="2"/>
      </rPr>
      <t>Rollen</t>
    </r>
  </si>
  <si>
    <t>koluti</t>
  </si>
  <si>
    <r>
      <rPr>
        <sz val="11"/>
        <color theme="1"/>
        <rFont val="Calibri"/>
        <family val="2"/>
      </rPr>
      <t>rullar</t>
    </r>
  </si>
  <si>
    <r>
      <rPr>
        <sz val="11"/>
        <color theme="1"/>
        <rFont val="Calibri"/>
        <family val="2"/>
      </rPr>
      <t>Ruller</t>
    </r>
  </si>
  <si>
    <t>Kolutovi</t>
  </si>
  <si>
    <t>Zusatzvermerk:</t>
  </si>
  <si>
    <t>Additional remarks:</t>
  </si>
  <si>
    <t>Indications complémentaires :</t>
  </si>
  <si>
    <t>Annotazioni</t>
  </si>
  <si>
    <t>Poznámky</t>
  </si>
  <si>
    <t>Dodatkowe uwagi:</t>
  </si>
  <si>
    <t>megjegyzés:</t>
  </si>
  <si>
    <t>Ďalšie poznámky</t>
  </si>
  <si>
    <r>
      <rPr>
        <sz val="11"/>
        <color theme="1"/>
        <rFont val="Calibri"/>
        <family val="2"/>
      </rPr>
      <t>Aanvullende notitie:</t>
    </r>
  </si>
  <si>
    <t>dodatne opombe</t>
  </si>
  <si>
    <r>
      <rPr>
        <sz val="11"/>
        <color theme="1"/>
        <rFont val="Calibri"/>
        <family val="2"/>
      </rPr>
      <t>Kompletterande notering:</t>
    </r>
  </si>
  <si>
    <r>
      <rPr>
        <sz val="11"/>
        <color theme="1"/>
        <rFont val="Calibri"/>
        <family val="2"/>
      </rPr>
      <t>Ekstra anmærkning:</t>
    </r>
  </si>
  <si>
    <r>
      <rPr>
        <sz val="11"/>
        <color theme="1"/>
        <rFont val="Calibri"/>
        <family val="2"/>
      </rPr>
      <t>Tilleggsnotat:</t>
    </r>
  </si>
  <si>
    <t>Dodatna napomena:</t>
  </si>
  <si>
    <t>Dachplatten, inkl. Befestigung</t>
  </si>
  <si>
    <t>roof tile (600 × 420 mm, 40 pc./box), including ring nails (2,8/30) and patent clips</t>
  </si>
  <si>
    <t>Tuile (600 × 420 mm, 40 par carton), avec clous annelés (2,8/30) et pattes brevetées</t>
  </si>
  <si>
    <t>Tegola (600 x 420 mm, 40 pz./cart.) incl. chiodi zigrinati (2,8/30) e graffette</t>
  </si>
  <si>
    <t>Falcovaná taška (600 x 420 mm, 40 ks./Kart.) vč. vroubkovaných hřeníků (2,8/30) a patentovaných příponek</t>
  </si>
  <si>
    <t>Dachówka klasyczna (600 × 420 mm, 40 szt./opakowanie), z gwoździami (2,8/30) i patentowymi zaczepami</t>
  </si>
  <si>
    <t>Classic elem (600 x 420 mm, 40db/doboz) bordás szeggel (2,8/30) és rögzítőhafterral</t>
  </si>
  <si>
    <t>falcovaná škridla (600 x 420 mm, 40 ks/kartón) vrátane ryhovaných klincov (2,8/30) a patentovaných príponiek</t>
  </si>
  <si>
    <t>dakplaat (600 x 420 mm, 40 Stks./doos) incl. groefspijkers (2,8/30) en gepatenteerd hechtmiddel</t>
  </si>
  <si>
    <t>strešna plošča (600 x 420 mm, 40 kos/škatlo) vključno z narebrenimi žičniki 2,8/30 in patentnimi sidri</t>
  </si>
  <si>
    <t>takplatta (600 x 420 mm, 40 st./kart.) inkl. räfflade spikar (2,8/30) och patenthäftare</t>
  </si>
  <si>
    <t>tagplade (600 x 420 mm, 40 stk./kart.) inkl. rillesøm (2,8/30) og patentspænde</t>
  </si>
  <si>
    <t>takplate (600 x 420 mm, 40 stk./kart.) inkl. riflet spiker (2,8/30) og patenterte festebraketter</t>
  </si>
  <si>
    <t>krovna ploča (600 x 420 mm, 40 kom./kut.) uklj. nazubljene čavle (2,8/30) i patentne učvršćivače</t>
  </si>
  <si>
    <t>Saumstreifen, 1,20x150x1806mm, für Dachplatte</t>
  </si>
  <si>
    <t>edge cleat strip, brown, pre-drilled (1,806 × 150 × 1.20 mm)</t>
  </si>
  <si>
    <t>Bande de départ; couleur : brun; préperforée (1 806 × 150 × 1,20 mm)</t>
  </si>
  <si>
    <t>Grondalina di partenza, marrone, preforata (1.806x150x1,20 mm)</t>
  </si>
  <si>
    <t>Podkladní pás pro falcované tašky, hnědý, předvrtané otvory(1.806x150x1,20 mm)</t>
  </si>
  <si>
    <t>pas okapowy, brązowy, przewiercony (1,806 × 150 × 1.20 mm)</t>
  </si>
  <si>
    <t>párkányelem barna, előlyukasztott (1.806x150x1,20 mm)</t>
  </si>
  <si>
    <t>odkvapový podkladový pás k falcovaným škridliam, hnedý, predvŕtané otvory (1.806 x 150 x 1,20 mm)</t>
  </si>
  <si>
    <t>randstroken bruin, geperforeerd (1806 x 150 x 1,20 mm)</t>
  </si>
  <si>
    <t>začetni trak, anodik rjava, predhodno perforiran (1.806x150x1,20mm)</t>
  </si>
  <si>
    <t>kantremsa brun, förperforerad (1,806x150x1,20 mm)</t>
  </si>
  <si>
    <t>kantstrimmel, brun, forhullet (1.806x150x1,20 mm)</t>
  </si>
  <si>
    <t>skjøteplate brun, forboret (1806x150x1,20 mm)</t>
  </si>
  <si>
    <t>početna traka smeđa, s izbušenim rupama (1.806x150x1,20 mm)</t>
  </si>
  <si>
    <t>Saumstreifen gerillt, 1,20x150x600mm,f.Abtreppung b.Dachplatte</t>
  </si>
  <si>
    <t>edge cleat strip, grooved (for step work; 600 × 150 mm)</t>
  </si>
  <si>
    <t>Bande de départ, rainurée (pour décrochements ; 600 × 150 mm)</t>
  </si>
  <si>
    <t>Grondalina di ripartenza, con scanalatura (per terrazzamenti, 600 x 150 mm)</t>
  </si>
  <si>
    <t>Podkladní pás pro falcované tašky-krátký 600 x 150 mm)</t>
  </si>
  <si>
    <t>pas okapowy, żłobkowany  (600 × 150 mm)</t>
  </si>
  <si>
    <t>toldó elem (lépcsős eresz kialakításhoz 600 x 150 mm)</t>
  </si>
  <si>
    <t>odkvapový podkladový pás k falcovaným škridliam, krátký, tvarovaný (600 x 150 mm)</t>
  </si>
  <si>
    <t>randstroken gerild (voor trappen 600 x 150 mm)</t>
  </si>
  <si>
    <t>začetni trak, žlebasti, za stopničaste presledke (600 x 150 mm)</t>
  </si>
  <si>
    <t>kantremsa räfflad (för stegning 600 x 150 mm)</t>
  </si>
  <si>
    <t>kantstrimmel, rillet (til aftrapning 600 x 150 mm)</t>
  </si>
  <si>
    <t>skjøteplate med spor (for avtrapping 600 x 150 mm)</t>
  </si>
  <si>
    <t>početna traka s utorom (za stepenasti prijelaz 600 x 150 mm)</t>
  </si>
  <si>
    <t>Patenthaft, für Platte, Schindel und DS.19</t>
  </si>
  <si>
    <t>patent clip for roof tile and shingle</t>
  </si>
  <si>
    <t>Patte brevetée pour tuiles et et bardeaux</t>
  </si>
  <si>
    <t>Graffetta per Tegole e Scandole</t>
  </si>
  <si>
    <t>Patentovaná příponka pro falcované tašky a šindele</t>
  </si>
  <si>
    <t xml:space="preserve">zaczep do dachówek klasycznych i łupkowych </t>
  </si>
  <si>
    <t>rögzítő hafter Classic és Zsindely elemhez</t>
  </si>
  <si>
    <t>patentovaná príponka na falcované škridle a šindle</t>
  </si>
  <si>
    <t>gepatenteerd hechtmiddel voor dakplaat en dakschindel</t>
  </si>
  <si>
    <t>patentno sidro za strešne plošče in skodle</t>
  </si>
  <si>
    <t>patenthäftare för takplattor och takshingel</t>
  </si>
  <si>
    <t>patentspænde til tagplade og tagspån</t>
  </si>
  <si>
    <t>patentert festebrakett for takplate og takshingel</t>
  </si>
  <si>
    <t>patentni učvršćivač za krovnu ploču i krovnu šindru</t>
  </si>
  <si>
    <t>Haftemagazin für Bulltack, 80 Hafter/Magazin</t>
  </si>
  <si>
    <t>clip magazine for reloading the Bull Tack Power nail gun
80 clips per magazine, 30 magazines per box</t>
  </si>
  <si>
    <t>Chargeur de pattes de fixation, pour remplir le chargeur de la cloueuse Bull Tack
80 pattes par chargeur ; 30 chargeurs par carton</t>
  </si>
  <si>
    <t>Caricatore di graffette per sparachiodi Bull Tack
_IT</t>
  </si>
  <si>
    <t>Zásobník příponek pro doplnění Bull Tack nastřelovačky hřebíků
80 ks/zásobník, 30 zásobníků/krabice</t>
  </si>
  <si>
    <t>Magazynki do załadunku pistoletu Bull Tack Power
80 zszywek w magazynku, 30 magazynków w opak.</t>
  </si>
  <si>
    <t>Hafter tár Bull Tack  szögbelövőhöz 80db/tár, 30 tár/doboz</t>
  </si>
  <si>
    <t>Zásobník na príponky pro doplnenie Bull Tack zásobníka
80 ks/zásobník, 30 zásobníkov/krabica</t>
  </si>
  <si>
    <r>
      <rPr>
        <sz val="11"/>
        <color theme="1"/>
        <rFont val="Calibri"/>
        <family val="2"/>
      </rPr>
      <t>Klinknagelmagazijn voor het bijvullen van Bull Tack spijkerpistool
80 stks./klinknagelmagazijn, 30 mag/doos</t>
    </r>
  </si>
  <si>
    <t>magazin s sidri Bull Tack 80 kos/magazin, 30 mag/škatlo</t>
  </si>
  <si>
    <r>
      <rPr>
        <sz val="11"/>
        <color theme="1"/>
        <rFont val="Calibri"/>
        <family val="2"/>
      </rPr>
      <t>Häftmagasin för efterladdning av Bull Tack-häftmaskin
80 st./häftmagasin, 30 magasin/kartong</t>
    </r>
  </si>
  <si>
    <r>
      <rPr>
        <sz val="11"/>
        <color theme="1"/>
        <rFont val="Calibri"/>
        <family val="2"/>
      </rPr>
      <t>Spændemagasin til opfyldning af Bull Tack sømpistol
80 stk./spændemagasin, 30 mag./karton</t>
    </r>
  </si>
  <si>
    <r>
      <rPr>
        <sz val="11"/>
        <color theme="1"/>
        <rFont val="Calibri"/>
        <family val="2"/>
      </rPr>
      <t>Brakettmagasin for etterlading Bull Tack-spikerpistol
80 stk./brakettmagasin, 30 mag./kartong</t>
    </r>
  </si>
  <si>
    <t>Spremnik učvršćivača za punjenje Bull Tack uređaja
80 kom./spremnik učvršćivača, 30 spr./kut.</t>
  </si>
  <si>
    <t>auswählen</t>
  </si>
  <si>
    <t>select</t>
  </si>
  <si>
    <t>sélectionner</t>
  </si>
  <si>
    <t>selezionare</t>
  </si>
  <si>
    <t>Vybrat</t>
  </si>
  <si>
    <t>wybierz</t>
  </si>
  <si>
    <t>kiválasztás</t>
  </si>
  <si>
    <t>Vybrať</t>
  </si>
  <si>
    <r>
      <rPr>
        <sz val="11"/>
        <rFont val="Slimbach LT"/>
      </rPr>
      <t>selecteren</t>
    </r>
  </si>
  <si>
    <t>izberi</t>
  </si>
  <si>
    <r>
      <rPr>
        <sz val="11"/>
        <rFont val="Slimbach LT"/>
      </rPr>
      <t>välj</t>
    </r>
  </si>
  <si>
    <r>
      <rPr>
        <sz val="11"/>
        <rFont val="Slimbach LT"/>
      </rPr>
      <t>vælge</t>
    </r>
  </si>
  <si>
    <r>
      <rPr>
        <sz val="11"/>
        <rFont val="Slimbach LT"/>
      </rPr>
      <t>velg</t>
    </r>
  </si>
  <si>
    <t>odabrati</t>
  </si>
  <si>
    <t>Mengenermittlung/Anfrage</t>
  </si>
  <si>
    <t>Material quotaion / inquiry</t>
  </si>
  <si>
    <t>Demande / Quantités requises</t>
  </si>
  <si>
    <t>Distinta materiali/Richiesta offerta</t>
  </si>
  <si>
    <t>Výpis materiálu/poptávka</t>
  </si>
  <si>
    <t>Zapytanie ilościowe:</t>
  </si>
  <si>
    <t>mennyiségszámítás / árajánlatkérés</t>
  </si>
  <si>
    <t>Výpis materiálu / dopyt</t>
  </si>
  <si>
    <r>
      <rPr>
        <sz val="11"/>
        <rFont val="Slimbach LT"/>
      </rPr>
      <t>Aantallen/aanvraag</t>
    </r>
  </si>
  <si>
    <t>Ocenitev količine/povpraševanje</t>
  </si>
  <si>
    <t>Offert</t>
  </si>
  <si>
    <r>
      <rPr>
        <sz val="11"/>
        <rFont val="Slimbach LT"/>
      </rPr>
      <t>Mængdeundersøgelse/Forespørgsel</t>
    </r>
  </si>
  <si>
    <r>
      <rPr>
        <sz val="11"/>
        <rFont val="Slimbach LT"/>
      </rPr>
      <t>Mengdeberegning/forespørsel</t>
    </r>
  </si>
  <si>
    <t>Izračun količina/upit</t>
  </si>
  <si>
    <t>Filter:</t>
  </si>
  <si>
    <t>Filtre :</t>
  </si>
  <si>
    <t>Filtro</t>
  </si>
  <si>
    <t>Filtr</t>
  </si>
  <si>
    <t>Filtr:</t>
  </si>
  <si>
    <t>szűrő:</t>
  </si>
  <si>
    <r>
      <rPr>
        <sz val="11"/>
        <rFont val="Slimbach LT"/>
      </rPr>
      <t>Filter:</t>
    </r>
  </si>
  <si>
    <t>filter</t>
  </si>
  <si>
    <t>Filtar:</t>
  </si>
  <si>
    <t>Bestellung</t>
  </si>
  <si>
    <t>Order</t>
  </si>
  <si>
    <t>Commande</t>
  </si>
  <si>
    <t>Ordine</t>
  </si>
  <si>
    <t>Objednávka</t>
  </si>
  <si>
    <t xml:space="preserve">Zamówienie </t>
  </si>
  <si>
    <t>megrendelés</t>
  </si>
  <si>
    <r>
      <rPr>
        <sz val="11"/>
        <rFont val="Slimbach LT"/>
      </rPr>
      <t>Bestelling</t>
    </r>
  </si>
  <si>
    <t>naročilo</t>
  </si>
  <si>
    <r>
      <rPr>
        <sz val="11"/>
        <rFont val="Slimbach LT"/>
      </rPr>
      <t>Beställning</t>
    </r>
  </si>
  <si>
    <r>
      <rPr>
        <sz val="11"/>
        <rFont val="Slimbach LT"/>
      </rPr>
      <t>Bestilling</t>
    </r>
  </si>
  <si>
    <t>Narudžba</t>
  </si>
  <si>
    <t>Service:</t>
  </si>
  <si>
    <t>Service :</t>
  </si>
  <si>
    <t>Servizio richiesto:</t>
  </si>
  <si>
    <t>Service:_CZ</t>
  </si>
  <si>
    <t>Serwis:</t>
  </si>
  <si>
    <t>szolgáltatás:</t>
  </si>
  <si>
    <t>Servis:</t>
  </si>
  <si>
    <r>
      <rPr>
        <sz val="11"/>
        <rFont val="Slimbach LT"/>
      </rPr>
      <t>Service:</t>
    </r>
  </si>
  <si>
    <t>servis</t>
  </si>
  <si>
    <t>Usluga:</t>
  </si>
  <si>
    <t>Vielen Dank für Ihre Mengenermittlung</t>
  </si>
  <si>
    <t>Thank you for indicating the quantity required</t>
  </si>
  <si>
    <t>Merci d’avoir indiqué les quantités requises.</t>
  </si>
  <si>
    <t>Grazie per la Vostra richiesta</t>
  </si>
  <si>
    <t>Mnohokrát děkujeme za váš výpis materiálu</t>
  </si>
  <si>
    <t>Dziękujemy za wskazanie wymaganej ilości.</t>
  </si>
  <si>
    <t>Köszönjük árajánlatkérését</t>
  </si>
  <si>
    <t>Ďakujeme veľmi pekne za uvedenie množstva materiálu</t>
  </si>
  <si>
    <r>
      <rPr>
        <sz val="11"/>
        <rFont val="Slimbach LT"/>
      </rPr>
      <t>Hartelijk dank voor uw aantallen</t>
    </r>
  </si>
  <si>
    <t>hvala za ocenitev količine</t>
  </si>
  <si>
    <r>
      <rPr>
        <sz val="11"/>
        <rFont val="Slimbach LT"/>
      </rPr>
      <t>Tack för din mängdberäkning</t>
    </r>
  </si>
  <si>
    <r>
      <rPr>
        <sz val="11"/>
        <rFont val="Slimbach LT"/>
      </rPr>
      <t>Mange tak for din mængdeundersøgelse</t>
    </r>
  </si>
  <si>
    <r>
      <rPr>
        <sz val="11"/>
        <rFont val="Slimbach LT"/>
      </rPr>
      <t>Mange takk for din mengdeberegning</t>
    </r>
  </si>
  <si>
    <t>Puno hvala na izračunu količina</t>
  </si>
  <si>
    <t>Vielen Dank für Ihre Bestellung</t>
  </si>
  <si>
    <t>Thank you for your order.</t>
  </si>
  <si>
    <t>Merci pour votre commande.</t>
  </si>
  <si>
    <t>Grazie per il Vostro ordine</t>
  </si>
  <si>
    <t>Mnohokrát děkujeme za vaší objednávku</t>
  </si>
  <si>
    <t>Dziękujemy za zamówienie.</t>
  </si>
  <si>
    <t>Köszönjük rendelését</t>
  </si>
  <si>
    <t>Ďakujeme Vám za Vašu objednávku</t>
  </si>
  <si>
    <r>
      <rPr>
        <sz val="11"/>
        <rFont val="Slimbach LT"/>
      </rPr>
      <t>Hartelijk dank voor uw bestelling</t>
    </r>
  </si>
  <si>
    <t>hvala za naročilo</t>
  </si>
  <si>
    <r>
      <rPr>
        <sz val="11"/>
        <rFont val="Slimbach LT"/>
      </rPr>
      <t>Tack för din beställning</t>
    </r>
  </si>
  <si>
    <r>
      <rPr>
        <sz val="11"/>
        <rFont val="Slimbach LT"/>
      </rPr>
      <t>Mange tak for din bestilling</t>
    </r>
  </si>
  <si>
    <r>
      <rPr>
        <sz val="11"/>
        <rFont val="Slimbach LT"/>
      </rPr>
      <t>Mange takk for din bestilling</t>
    </r>
  </si>
  <si>
    <t>Puno hvala na Vašoj narudžbi</t>
  </si>
  <si>
    <t>Rillennägel, verzinkt</t>
  </si>
  <si>
    <t>ring nails, galvanised</t>
  </si>
  <si>
    <t>Clou annelé, galvanisé</t>
  </si>
  <si>
    <t>Chiodo zigrinato zincato</t>
  </si>
  <si>
    <t>vroubkované hřebíky, pozinkované</t>
  </si>
  <si>
    <t>Gwoździe, galwanizowane</t>
  </si>
  <si>
    <t>bordásszeg horganyzott</t>
  </si>
  <si>
    <t>ryhované klince, pozinkované</t>
  </si>
  <si>
    <t>groefspijker gegalvaniseerd</t>
  </si>
  <si>
    <t>žičniki pocinkani</t>
  </si>
  <si>
    <t>räfflad spik förzinkad</t>
  </si>
  <si>
    <t>rillesøm galvaniseret</t>
  </si>
  <si>
    <t>riflet spiker galvanisert</t>
  </si>
  <si>
    <t>nazubljeni čavao pocinčani</t>
  </si>
  <si>
    <t>2,8/25 (1 kg = ca. 570 St.)</t>
  </si>
  <si>
    <t>28/25 (1 kg = approx. 570 pc.)</t>
  </si>
  <si>
    <t>28/25 (1 kg = env. 570)</t>
  </si>
  <si>
    <t>28/25 (1 Kg = ca. 570 Pz.)</t>
  </si>
  <si>
    <t>28/25 (1 kg = ca. 570 ks.)</t>
  </si>
  <si>
    <t>28/25 (1 kg = około 570 szt.)</t>
  </si>
  <si>
    <t>28/25 (1 kg = kb. 570 db.)</t>
  </si>
  <si>
    <t>28/25 (1 kg = cca 570 ks)</t>
  </si>
  <si>
    <r>
      <rPr>
        <sz val="11"/>
        <rFont val="Slimbach LT"/>
      </rPr>
      <t>28/25 (1 kg = ca. 570 stks.)</t>
    </r>
  </si>
  <si>
    <t>28/25 (1 kg = ca. 570 kos)</t>
  </si>
  <si>
    <r>
      <rPr>
        <sz val="11"/>
        <rFont val="Slimbach LT"/>
      </rPr>
      <t>28/25 (1 kg = cirka 570 st.)</t>
    </r>
  </si>
  <si>
    <r>
      <rPr>
        <sz val="11"/>
        <rFont val="Slimbach LT"/>
      </rPr>
      <t>28/25 (1 kg = ca. 570 stk.)</t>
    </r>
  </si>
  <si>
    <r>
      <rPr>
        <sz val="11"/>
        <rFont val="Slimbach LT"/>
      </rPr>
      <t>28/25 (1 kg = ca. 570 stk.)</t>
    </r>
  </si>
  <si>
    <t>28/25 (1 kg = cca. 570 kom.)</t>
  </si>
  <si>
    <t>2,8/30 (1 kg = ca. 480 St.)</t>
  </si>
  <si>
    <t>28/30 (1 kg = approx. 480 pc.)</t>
  </si>
  <si>
    <t>28/30 (1 kg = env. 480)</t>
  </si>
  <si>
    <t>28/30 (1 Kg = ca. 480 Pz.)</t>
  </si>
  <si>
    <t>28/30 (1 kg = ca. 480 ks.)</t>
  </si>
  <si>
    <t>28/30 (1 kg = około 480 szt.)</t>
  </si>
  <si>
    <t>28/30 (1 kg = kb. 480 db.)</t>
  </si>
  <si>
    <t>28/30 (1 kg = cca 480 ks)</t>
  </si>
  <si>
    <r>
      <rPr>
        <sz val="11"/>
        <rFont val="Slimbach LT"/>
      </rPr>
      <t>28/30 (1 kg = ca. 480 stks.)</t>
    </r>
  </si>
  <si>
    <t>28/30 (1 kg = ca. 480 kos)</t>
  </si>
  <si>
    <r>
      <rPr>
        <sz val="11"/>
        <rFont val="Slimbach LT"/>
      </rPr>
      <t>28/30 (1 kg = cirka 480 st.)</t>
    </r>
  </si>
  <si>
    <r>
      <rPr>
        <sz val="11"/>
        <rFont val="Slimbach LT"/>
      </rPr>
      <t>28/30 (1 kg = ca. 480 stk.)</t>
    </r>
  </si>
  <si>
    <r>
      <rPr>
        <sz val="11"/>
        <rFont val="Slimbach LT"/>
      </rPr>
      <t>28/30 (1 kg = ca. 480 stk.)</t>
    </r>
  </si>
  <si>
    <t>28/30 (1 kg = cca. 480 kom.)</t>
  </si>
  <si>
    <t>2,8/40 (1 kg = ca. 380 St.)</t>
  </si>
  <si>
    <t>28/40 (1 kg = approx. 380 pc.)</t>
  </si>
  <si>
    <t>28/40 (1 kg = env. 380)</t>
  </si>
  <si>
    <t>28/40 (1 Kg = ca. 380 Pz.)</t>
  </si>
  <si>
    <t>28/40 (1 kg = ca. 380 ks.)</t>
  </si>
  <si>
    <t>28/40 (1 kg = około 380 szt.)</t>
  </si>
  <si>
    <t>28/40 (1 kg = kb. 380 db.)</t>
  </si>
  <si>
    <t>28/40 (1 kg = cca 380 ks)</t>
  </si>
  <si>
    <r>
      <rPr>
        <sz val="11"/>
        <rFont val="Slimbach LT"/>
      </rPr>
      <t>28/40 (1 kg = ca. 380 stks.)</t>
    </r>
  </si>
  <si>
    <t>28/40 (1 kg = ca. 380 kos)</t>
  </si>
  <si>
    <r>
      <rPr>
        <sz val="11"/>
        <rFont val="Slimbach LT"/>
      </rPr>
      <t>28/40 (1 kg = cirka 380 st.)</t>
    </r>
  </si>
  <si>
    <r>
      <rPr>
        <sz val="11"/>
        <rFont val="Slimbach LT"/>
      </rPr>
      <t>28/40 (1 kg = ca. 380 stk.)</t>
    </r>
  </si>
  <si>
    <r>
      <rPr>
        <sz val="11"/>
        <rFont val="Slimbach LT"/>
      </rPr>
      <t>28/40 (1 kg = ca. 380 stk.)</t>
    </r>
  </si>
  <si>
    <t>28/40 (1 kg = cca. 380 kom.)</t>
  </si>
  <si>
    <t>Rillennägel gebunden</t>
  </si>
  <si>
    <t>Nails for Bull Tack Power nail gun</t>
  </si>
  <si>
    <t>Clou pour cloueuse Bull Tack Power</t>
  </si>
  <si>
    <t>Chiodi per sparachiodi Bull Tack Power</t>
  </si>
  <si>
    <t>Hřebíky do Bull Tack Power hřebíkovačky</t>
  </si>
  <si>
    <t>Gwoździe do gwoździarki Bull Tack Power.</t>
  </si>
  <si>
    <t>Bordásszeg Bull Tack szögbelövőhöz</t>
  </si>
  <si>
    <t>Klince do Bull Tack Power klincovačky</t>
  </si>
  <si>
    <r>
      <rPr>
        <sz val="11"/>
        <rFont val="Slimbach LT"/>
      </rPr>
      <t>Spijkers voor Bull Tack Power spijkerpistool</t>
    </r>
  </si>
  <si>
    <t>Žičniki za Bull Tack pištolo</t>
  </si>
  <si>
    <r>
      <rPr>
        <sz val="11"/>
        <rFont val="Slimbach LT"/>
      </rPr>
      <t>Spikar för Bull Tack Power-häftmaskin</t>
    </r>
  </si>
  <si>
    <r>
      <rPr>
        <sz val="11"/>
        <rFont val="Slimbach LT"/>
      </rPr>
      <t>Søm til Bull Tack Power sømpistol</t>
    </r>
  </si>
  <si>
    <r>
      <rPr>
        <sz val="11"/>
        <rFont val="Slimbach LT"/>
      </rPr>
      <t>Spiker for Bull Tack Power-spikerpistol</t>
    </r>
  </si>
  <si>
    <t>Čavli za Bull Tack Power uređaj</t>
  </si>
  <si>
    <t>Länge 26 mm (3.200 Stk/Karton)</t>
  </si>
  <si>
    <t>Length: 26 mm (3,200 pc./box)</t>
  </si>
  <si>
    <t>Longueur : 26 mm (3 200 par carton)</t>
  </si>
  <si>
    <t>Lunghezza 26 mm (3.200 Pz/Cartone)</t>
  </si>
  <si>
    <t>Délka 26 mm (3.200 ks/krabice)</t>
  </si>
  <si>
    <t>Długość: 26 mm (3,200 szt./opak.)</t>
  </si>
  <si>
    <t>Hossz 26 mm (3.200 db/doboz)</t>
  </si>
  <si>
    <t>Dĺžka 26 mm (3.200 ks/krabica)</t>
  </si>
  <si>
    <r>
      <rPr>
        <sz val="11"/>
        <rFont val="Slimbach LT"/>
      </rPr>
      <t>Lengte 26 mm (3200 stks./doos)</t>
    </r>
  </si>
  <si>
    <t>dolžina 26 mm (3.200 kos/škatlo)</t>
  </si>
  <si>
    <r>
      <rPr>
        <sz val="11"/>
        <rFont val="Slimbach LT"/>
      </rPr>
      <t>Längd 26 mm (3.200 st./kartong)</t>
    </r>
  </si>
  <si>
    <r>
      <rPr>
        <sz val="11"/>
        <rFont val="Slimbach LT"/>
      </rPr>
      <t>Længde 26 mm (3.200 stk./karton)</t>
    </r>
  </si>
  <si>
    <r>
      <rPr>
        <sz val="11"/>
        <rFont val="Slimbach LT"/>
      </rPr>
      <t>Lengde 26 mm (3200 stk./kartong)</t>
    </r>
  </si>
  <si>
    <t>Duljina 26 mm (3.200 kom./kutija)</t>
  </si>
  <si>
    <t>Länge 35 mm (2.400 Stk/Karton)</t>
  </si>
  <si>
    <t>Length: 35 mm (2,400 pc./box)</t>
  </si>
  <si>
    <t>Longueur : 35 mm (2 400 par carton)</t>
  </si>
  <si>
    <t>Lunghezza 35 mm (2.400 Pz/Cartone)</t>
  </si>
  <si>
    <t>Délka 35 mm (2.400 ks/krabice)</t>
  </si>
  <si>
    <t>Długość: 35 mm (2,400 szt./opak.)</t>
  </si>
  <si>
    <t>Hossz 35 mm (2.400 db/doboz)</t>
  </si>
  <si>
    <t>Dĺžka 35 mm (2.400 ks/krabica)</t>
  </si>
  <si>
    <r>
      <rPr>
        <sz val="11"/>
        <rFont val="Slimbach LT"/>
      </rPr>
      <t>Lengte 35 mm (2400 stks./doos)</t>
    </r>
  </si>
  <si>
    <t>dolžina 35 mm (2.400 kos/škatlo)</t>
  </si>
  <si>
    <r>
      <rPr>
        <sz val="11"/>
        <rFont val="Slimbach LT"/>
      </rPr>
      <t>Längd 35 mm (2.400 st./kartong)</t>
    </r>
  </si>
  <si>
    <r>
      <rPr>
        <sz val="11"/>
        <rFont val="Slimbach LT"/>
      </rPr>
      <t>Længde 35 mm (2.400 stk./karton)</t>
    </r>
  </si>
  <si>
    <r>
      <rPr>
        <sz val="11"/>
        <rFont val="Slimbach LT"/>
      </rPr>
      <t>Lengde 35 mm (2400 stk./kartong)</t>
    </r>
  </si>
  <si>
    <t>Duljina 35 mm (2.400 kom./kutija)</t>
  </si>
  <si>
    <t>Länge 26 mm (3.200 Stk/Karton) NIRO</t>
  </si>
  <si>
    <t>Length: 26 mm (3,200 pc./box), stainless steel</t>
  </si>
  <si>
    <t>Longueur : 26 mm (3 200 par carton), inox</t>
  </si>
  <si>
    <t>Lunghezza 26 mm (3.200 Pz/Cartone) in acciaio inox</t>
  </si>
  <si>
    <t>Délka 26 mm (3.200 ks/krabice) NIRO</t>
  </si>
  <si>
    <t>Długość: 26 mm (3,200 szt./opak.), Stal nierdzewna</t>
  </si>
  <si>
    <t>Hossz 26 mm (3.200 db/doboz) rozsdamentes</t>
  </si>
  <si>
    <t>Dĺžka 26 mm (3.200 ks/krabica) NIRO</t>
  </si>
  <si>
    <r>
      <rPr>
        <sz val="11"/>
        <rFont val="Slimbach LT"/>
      </rPr>
      <t>Lengte 26 mm (3200 stks./doos) NIRO</t>
    </r>
  </si>
  <si>
    <t>dolžina 26 mm (3.200 kos/škatlo) NIRO - nerjaveči</t>
  </si>
  <si>
    <r>
      <rPr>
        <sz val="11"/>
        <rFont val="Slimbach LT"/>
      </rPr>
      <t>Längd 26 mm (3.200 st./kartong) NIRO</t>
    </r>
  </si>
  <si>
    <r>
      <rPr>
        <sz val="11"/>
        <rFont val="Slimbach LT"/>
      </rPr>
      <t>Længde 26 mm (3.200 stk./karton) NIRO</t>
    </r>
  </si>
  <si>
    <r>
      <rPr>
        <sz val="11"/>
        <rFont val="Slimbach LT"/>
      </rPr>
      <t>Lengde 26 mm (3200 stk./kartong) RUSTFRITT STÅL</t>
    </r>
  </si>
  <si>
    <t>Duljina 26 mm (3.200 kom./kutija) nehrđajući</t>
  </si>
  <si>
    <t>Einlaufblech</t>
  </si>
  <si>
    <t>eaves apron, smooth (230 × 2,000 × 0.7 mm)</t>
  </si>
  <si>
    <t>Solin de finition, lisse (230 × 2 000 × 0,7 mm)</t>
  </si>
  <si>
    <t>Grondalina standard liscia 230 x 2.000 x 0,7 mm</t>
  </si>
  <si>
    <t>Okapnička pod folii-hladká 230 x 2.000 x 0,7 mm</t>
  </si>
  <si>
    <t>pas podrynnowy, gładki (230 × 2,000 × 0.7 mm)</t>
  </si>
  <si>
    <t>cseppentőlemez sima 230 × 2.000 × 0,7 mm</t>
  </si>
  <si>
    <t>odkapový plech pod fóliu, hladký, 230 × 2.000 × 0,7 mm</t>
  </si>
  <si>
    <t>inloopplaat glad 230 × 2000 × 0,7 mm</t>
  </si>
  <si>
    <t>odkapna pločevina gladka 230 x 2.000 x 0,7 mm</t>
  </si>
  <si>
    <t>inloppsplåt slät 230 × 2.000 × 0,7 mm</t>
  </si>
  <si>
    <t>indløbsplade glat 230 × 2.000 × 0,7 mm</t>
  </si>
  <si>
    <t>avrenningsplate glatt 230 × 2000 × 0,7 mm</t>
  </si>
  <si>
    <t>uljevni lim glatki 230 × 2.000 × 0,7 mm</t>
  </si>
  <si>
    <t>Lüftungsband</t>
  </si>
  <si>
    <t>ventilation screen</t>
  </si>
  <si>
    <t>Bavette ventilée</t>
  </si>
  <si>
    <t>Lamiera forata di ventilazione</t>
  </si>
  <si>
    <t>větrací pás</t>
  </si>
  <si>
    <t xml:space="preserve">Listwa wentylacyjna </t>
  </si>
  <si>
    <t>szellőzőszalag</t>
  </si>
  <si>
    <t>vetrací pás</t>
  </si>
  <si>
    <t>ventilatieband</t>
  </si>
  <si>
    <t xml:space="preserve">perforirani trak </t>
  </si>
  <si>
    <t>ventilationsplåt</t>
  </si>
  <si>
    <t>ventilationsbånd</t>
  </si>
  <si>
    <t>ventilasjonsplate</t>
  </si>
  <si>
    <t>traka za prozračivanje</t>
  </si>
  <si>
    <t>1x250 (A=140 B=85 C=25 mm)</t>
  </si>
  <si>
    <t>1 × 250 (A = 140; B = 85; C = 25 mm)</t>
  </si>
  <si>
    <t>1 x 250 (A=140 B=85 C=25 mm)</t>
  </si>
  <si>
    <r>
      <rPr>
        <sz val="11"/>
        <rFont val="Slimbach LT"/>
      </rPr>
      <t>1 x 250 (A=140 B=85 C=25 mm)</t>
    </r>
  </si>
  <si>
    <r>
      <rPr>
        <sz val="11"/>
        <rFont val="Slimbach LT"/>
      </rPr>
      <t>1x250 (A = 140 B = 85 C = 25 mm)</t>
    </r>
  </si>
  <si>
    <r>
      <rPr>
        <sz val="11"/>
        <rFont val="Slimbach LT"/>
      </rPr>
      <t>1x250 (A=140 B=85 C=25 mm)</t>
    </r>
  </si>
  <si>
    <r>
      <rPr>
        <sz val="11"/>
        <rFont val="Slimbach LT"/>
      </rPr>
      <t>1x250 (A=140 B=85 C=25 mm)</t>
    </r>
  </si>
  <si>
    <t>1x333 (A=223 B=85 C=25 mm)</t>
  </si>
  <si>
    <t>1 × 333 (A = 223; B = 85; C = 25 mm)</t>
  </si>
  <si>
    <t>1 x 333 (A=223 B=85 C=25 mm)</t>
  </si>
  <si>
    <r>
      <rPr>
        <sz val="11"/>
        <rFont val="Slimbach LT"/>
      </rPr>
      <t>1 x 333 (A=223 B=85 C=25 mm)</t>
    </r>
  </si>
  <si>
    <r>
      <rPr>
        <sz val="11"/>
        <rFont val="Slimbach LT"/>
      </rPr>
      <t>1x333 (A = 223 B = 85 C = 25 mm)</t>
    </r>
  </si>
  <si>
    <r>
      <rPr>
        <sz val="11"/>
        <rFont val="Slimbach LT"/>
      </rPr>
      <t>1x333 (A=223 B=85 C=25 mm)</t>
    </r>
  </si>
  <si>
    <r>
      <rPr>
        <sz val="11"/>
        <rFont val="Slimbach LT"/>
      </rPr>
      <t>1x333 (A=223 B=85 C=25 mm)</t>
    </r>
  </si>
  <si>
    <t>Vogelschutzgitter, Lochbreite 5mm, 0,70x125x2000mm, braun/anthrazit</t>
  </si>
  <si>
    <t>bird screen, brown/anthracite (125 × 2,000 × 0.7 mm)</t>
  </si>
  <si>
    <t>grille anti-insectes, brun/anthracite (125 × 2 000 × 0,7 mm)</t>
  </si>
  <si>
    <t>Lamiera forata anti volatile marrone/antracite (125x2.000x0,7mm)</t>
  </si>
  <si>
    <t>Ochranná mřížka proti ptákům hnědá/antracit (125x2.000x0,7mm)</t>
  </si>
  <si>
    <t>siatka ochrona przeciw ptakom (125 × 2,000 × 0.7 mm)</t>
  </si>
  <si>
    <t>madárrács barna/antracit (125x2.000x0,7mm)</t>
  </si>
  <si>
    <t>ochranná mriežka proti vtákom hnedá/antracitová (125 x 2.000 x 0,7 mm)</t>
  </si>
  <si>
    <t>vogelbeschermingsrooster bruin/antraciet (125 x 2000 x 0,7 mm)</t>
  </si>
  <si>
    <t>perforiran trak za zaščito pred ptiči, 125 mm (125x2.000x0,7mm)</t>
  </si>
  <si>
    <t>fågelskyddsgaller brunt/antracit (125 x 2.000 x 0,7 mm)</t>
  </si>
  <si>
    <t>fuglebeskyttelsesgitter brun/antrazit (125x2.000x0,7mm)</t>
  </si>
  <si>
    <t>fuglegitter brun/antrasitt (125x2000x0,7 mm)</t>
  </si>
  <si>
    <t>rešetka za zaštitu od ptica smeđa/antracit (125x2.000x0,7mm)</t>
  </si>
  <si>
    <t>Ortgangstreifen, 0,70x95x2000mm</t>
  </si>
  <si>
    <t>verge flashing (95 × 2,000 × 0.70 mm)</t>
  </si>
  <si>
    <t>Bande de rive (95 × 2 000 × 0,70 mm)</t>
  </si>
  <si>
    <t>Mantovana (95 x 2.000 x 0,70 mm)</t>
  </si>
  <si>
    <t>Závětrná lišta (95 x 2.000 x 0,70 mm)</t>
  </si>
  <si>
    <t>wiatrownica (95 × 2,000 × 0.70 mm)</t>
  </si>
  <si>
    <t>oromszegély (95 x 2.000 x 0,70 mm)</t>
  </si>
  <si>
    <t>záveternácia lišta (95 x 2.000 x 0,70 mm)</t>
  </si>
  <si>
    <t>oversteekstroken (95 x 2000 x 0,70 mm)</t>
  </si>
  <si>
    <t>čelna obroba (95x2.000 x 0,7 mm)</t>
  </si>
  <si>
    <t>gavelremsa (95 x 2.000 x 0,70 mm)</t>
  </si>
  <si>
    <t>gavludhængsstrimmel (95 x 2.000 x 0,70 mm)</t>
  </si>
  <si>
    <t>vindskibeslag (95 x 2000 x 0,70 mm)</t>
  </si>
  <si>
    <t>zabatna traka (95 x 2.000 x 0,70 mm)</t>
  </si>
  <si>
    <t>Sicherheitskehle 3m lang</t>
  </si>
  <si>
    <t>safety valley, stucco (length: 3,000 mm)</t>
  </si>
  <si>
    <t>Noue de sécurité, stucco (longueur : 3 000 mm)</t>
  </si>
  <si>
    <t>Compluvio con ripiega di sicurezza, goffrato (l= 3.000 mm)</t>
  </si>
  <si>
    <t>Bezpečnostní úžlabí stucco (3.000 mm délka)_CZ</t>
  </si>
  <si>
    <t>rynna koszowa stucco (Długość: 3,000 mm)</t>
  </si>
  <si>
    <t>biztonsági vápa stukkó (3.000 mm hossz)</t>
  </si>
  <si>
    <t>bezpečnostné úžľabie stucco (dĺžka 3.000 mm)</t>
  </si>
  <si>
    <t>veiligheidskiel stucco (lengte 3000 mm)</t>
  </si>
  <si>
    <t>varnostna žlota, stucco (3.000 mm dolžine)</t>
  </si>
  <si>
    <t>säkerhetskäl stuckatur (3.000 mm lång)</t>
  </si>
  <si>
    <t>sikkerhedskel stucco (3.000 mm lang)</t>
  </si>
  <si>
    <t>vinkelrenne stucco (3000 mm lang)</t>
  </si>
  <si>
    <t>sigurnosna uvala stucco (duljina 3.000 mm )</t>
  </si>
  <si>
    <t xml:space="preserve">Grat-Firstreiter inkl. Dichtschrauben </t>
  </si>
  <si>
    <t>hip and ridge cap (500 × 1.00 mm), stucco
including stainless steel screw (4.5 × 45 mm) and sealing washer</t>
  </si>
  <si>
    <t>Faîtière et arêtier (500 × 1,00 mm), stucco
fournis avec vis en acier inoxydable (4,5 × 45 mm) et rondelle d’étanchéité</t>
  </si>
  <si>
    <t>Copricolmo/Displuvio 500 x 1,00 mm, goffrato.
Incl.  Vite inox 4,5x45mm rondella di tenuta</t>
  </si>
  <si>
    <t>Hřebenáč malý 500 x 1,00 mm stucco
včetně nerez. vrutu 4,5x45mm a těsnící podložky</t>
  </si>
  <si>
    <t>gąsior dachowy (500 × 1.00 mm), stucco
z wkrętami ze stali nierdzewnej (4.5 × 45 mm) i uszczelnieniem</t>
  </si>
  <si>
    <t>él- és taréjgerinc elem 500 x 1,00 mm stukkó, 4,5x45mm rozsdamentes csavarral és tömítő alátéttel</t>
  </si>
  <si>
    <t>hrebenáč na hreneň resp. na nárožie, 500 x 1,00 mm, stucco
vrátane nerezovej skrutky 4,5 x 45mm s tesniacou podložkou</t>
  </si>
  <si>
    <t>graat- en vorstafdekking 500 x 1,00 mm stucco
incl. Niro-schroef 4,5 x 45 mm en afdichtingschijf</t>
  </si>
  <si>
    <t>grebenski slemenjak 500 x 1,00 mm, stucco, vklj. S klepraskimi nerjavečimi vijaki 4,5 x 45 mmin podložko</t>
  </si>
  <si>
    <t>nockpanna 500 x 1,00 mm stuckatur inkl. Niro-skruv 4,5 x 45 mm och tätningsbricka</t>
  </si>
  <si>
    <t>rygnings- og mønningsrytter 500 x 1,00 mm stucco
inkl. Niro-skrue 4,5x45 mm og tætningsskive</t>
  </si>
  <si>
    <t>mønestein 500 x 1,00 mm stucco
inkl. skrue i rustfritt stål 4,5x45mm og tetningsskive</t>
  </si>
  <si>
    <t>sljemenjak 500 x 1,00 mm stucco
uklj. nehrđajući vijak 4,5x45mm i brtvenu pločicu</t>
  </si>
  <si>
    <t>Gratreitervorkopf</t>
  </si>
  <si>
    <t>hip and ridge cap, end piece, stucco</t>
  </si>
  <si>
    <t>About de faîtière / d’arêtier, stucco</t>
  </si>
  <si>
    <t>Testata per copricolmo/Displuvio, goffrata</t>
  </si>
  <si>
    <t>Ukončovací hřebenáč stucco</t>
  </si>
  <si>
    <t>końcówka gąsiora, stucco</t>
  </si>
  <si>
    <t>kezdő elem él- és taréjgerinc elemhez stukkó</t>
  </si>
  <si>
    <t>hrebenáč na hrebeň reps. na nárožie, prvok na začiatok alebo ukončenie hrebeňa resp. nárožia, stucco</t>
  </si>
  <si>
    <t>graat-/vorstafdekking begin-/eindstuk stucco</t>
  </si>
  <si>
    <t xml:space="preserve">polkrožni začetni grebenski slemenjak </t>
  </si>
  <si>
    <t>nockpanna, start-/ändstycke stuckatur</t>
  </si>
  <si>
    <t>rygnings-/mønningsrytter start-/slutstykke stucco</t>
  </si>
  <si>
    <t>mønestein start-/endestykke stucco</t>
  </si>
  <si>
    <t>početni element za neventilirani sljemenjak/grebenjak stucco</t>
  </si>
  <si>
    <t>Jet-Lüfter 1.2m lang</t>
  </si>
  <si>
    <t>ridge vent, stucco (1,200 mm), including stainless steel screw and sealing washer</t>
  </si>
  <si>
    <t>Faîtière ventilée, stucco (1 200 mm), fournie avec vis en acier inoxydable et rondelle d’étanchéité</t>
  </si>
  <si>
    <t>Copricolmo ventilato (1.200mm) incl. vite inox e rondella di tenuta</t>
  </si>
  <si>
    <t>Jet-Lüfter stucco (1.200mm) včetně nerez. vrutu a těs. podložky</t>
  </si>
  <si>
    <t>gąsior wentylowany, stucco (1,200 mm), z wkrętami ze stali nierdzewnej i uszczelnieniem</t>
  </si>
  <si>
    <t>Jet Lüfter szellőző gerincelem (1.200mm) rozsdamentes csavarral és tömítő alátéttel</t>
  </si>
  <si>
    <t>odvetrávací hrebenáč Jet-Lüfter, stucco (1.200 mm) vrátane nerezovej skrutky s tesniacou podložkou</t>
  </si>
  <si>
    <t>jetventilator stucco (1200 mm) incl. Niro-schr. en afdichtingsch.</t>
  </si>
  <si>
    <t xml:space="preserve">Jet-zračni slemenjak stucco (1.200 mm) vklj. S kleparskimi nerjavečimi vijaki </t>
  </si>
  <si>
    <t>Jet-ventilation stuckatur (1.200 mm) inkl. Niro-skruv och tätningsbricka</t>
  </si>
  <si>
    <t>Jet-ventilator (1.200 mm) inkl. Niro-skrue og tætningsskive.</t>
  </si>
  <si>
    <t>kanalventilasjon stucco (1200 mm) inkl. skrue i rustfritt stål og tetn.skive</t>
  </si>
  <si>
    <t>Jet-odzračni sljemenjak stucco (1.200mm) uklj. nehrđ. vij. i brtv. ploč.</t>
  </si>
  <si>
    <t>Jet-Lüfter</t>
  </si>
  <si>
    <t>ridge vent, stucco (3,000 mm), including stainless steel screw and sealing washer</t>
  </si>
  <si>
    <t>Faîtière ventilée, stucco (3 000 mm), fournie avec vis en acier inoxydable et rondelle d’étanchéité</t>
  </si>
  <si>
    <t>Copricolmo ventilato (3000mm) incl. vite inox e rondella di tenuta</t>
  </si>
  <si>
    <t>Jet-Lüfter stucco (3.000mm)  včetně nerez. vrutu a těs. podložky</t>
  </si>
  <si>
    <t>gąsior wentylowany, stucco (3,000 mm), z wkrętami ze stali nierdzewnej i uszczelnieniem</t>
  </si>
  <si>
    <t>Jet Lüfter szellőző gerincelem (3.000mm) rozsdamentes csavarral és tömítő alátéttel</t>
  </si>
  <si>
    <t>odvetrávací hrebenáč Jet-Lüfter, stucco (3.000 mm) vrátane nerezovej skrutky s tesniacou podložkou</t>
  </si>
  <si>
    <t>jetventilator stucco (3.000mm) incl. Niro-schr. en afdichtingsch.</t>
  </si>
  <si>
    <t xml:space="preserve">Jet-zračni slemenjak stucco (3.000 mm) vklj. S kleparskimi nerjavečimi vijaki </t>
  </si>
  <si>
    <t>Jet-ventilation stuckatur (3.000 mm) inkl. Niro-skruv och tätningsbricka</t>
  </si>
  <si>
    <t>Jet-ventilator (3.000mm) inkl. Niro-skrue og tætningsskive.</t>
  </si>
  <si>
    <t>kanalventilasjon stucco (3000 mm) inkl. skrue i rustfritt stål og tetn.skive</t>
  </si>
  <si>
    <t>Jet-odzračni sljemenjak stucco (3.000mm) uklj. nehrđ. vij.i brtv. ploč.</t>
  </si>
  <si>
    <t>Jet-Lüfter-Vorkopf</t>
  </si>
  <si>
    <t>ridge vent end piece, stucco</t>
  </si>
  <si>
    <t>About de faîtière ventilée, stucco</t>
  </si>
  <si>
    <t>Testata per copricolmo ventilato, goffrata</t>
  </si>
  <si>
    <t>Ukončovací prvek pro Jet-Lüfter</t>
  </si>
  <si>
    <t>końcówka gąsiora wentylowanego, stucco</t>
  </si>
  <si>
    <t>végelem szellőző gerincelemhez stukkó</t>
  </si>
  <si>
    <t xml:space="preserve">ukončujúci prvok pre odvetrávací hrebenáč Jet-Lüfter </t>
  </si>
  <si>
    <t>jetventilator-eindstuk stucco</t>
  </si>
  <si>
    <t>Jet-začetni slemenjak stucco</t>
  </si>
  <si>
    <t>Jet-ventilation ändstycke stuckatur</t>
  </si>
  <si>
    <t>Jet-ventilator endestykke stucco</t>
  </si>
  <si>
    <t>kanalventilasjon endestykke stucco</t>
  </si>
  <si>
    <t>završni Jet-odzračni sljemenjak stucco</t>
  </si>
  <si>
    <t>Dichtschraube NIRO</t>
  </si>
  <si>
    <t>stainless steel screw and sealing washer for hip and ridge cap</t>
  </si>
  <si>
    <t>Vis en acier inoxydable et rondelle d’étanchéité pour faîtières et arêtiers</t>
  </si>
  <si>
    <t>Vite inox con rondella di tenuta per copricolmo/displuvio</t>
  </si>
  <si>
    <t>Nerezový vrut s těsnící podložkou pro malý hřebenáč</t>
  </si>
  <si>
    <t xml:space="preserve">wkręt ze stali nierdzewnej z uszczelnieniem do gąsiora dachowego </t>
  </si>
  <si>
    <t>Rozsdamentes acél csavar tömítő alátéttel él- és taréjgerinc elemhez</t>
  </si>
  <si>
    <t>Skrutky z nehrdzavejúcej ocele s tesniacim krúžkom pre hrebeň resp. nárožie</t>
  </si>
  <si>
    <r>
      <rPr>
        <sz val="11"/>
        <color theme="1"/>
        <rFont val="Arial"/>
        <family val="2"/>
      </rPr>
      <t>Niro-schroef met afdichtingschijf voor graat-/vorstafdekking</t>
    </r>
  </si>
  <si>
    <t>Kleparski nerjaveči vijaki s podložko za grebenske slemenjake</t>
  </si>
  <si>
    <r>
      <rPr>
        <sz val="11"/>
        <color theme="1"/>
        <rFont val="Arial"/>
        <family val="2"/>
      </rPr>
      <t>Niro-skruv med tätningsbricka för nockpanna</t>
    </r>
  </si>
  <si>
    <r>
      <rPr>
        <sz val="11"/>
        <color theme="1"/>
        <rFont val="Arial"/>
        <family val="2"/>
      </rPr>
      <t>Niro-skrue med tætningsskive til rygnings-/mønningsrytter</t>
    </r>
  </si>
  <si>
    <r>
      <rPr>
        <sz val="11"/>
        <color theme="1"/>
        <rFont val="Arial"/>
        <family val="2"/>
      </rPr>
      <t>Skrue i rustfritt stål med tetningsskive for mønestein</t>
    </r>
  </si>
  <si>
    <t>Nehrđajući vijak s brtvenom pločicom za sljemenjak</t>
  </si>
  <si>
    <t>stainless steel screw and sealing washer for ridge vent</t>
  </si>
  <si>
    <t>Vis en acier inoxydable et rondelle d’étanchéité pour faîtières ventilées</t>
  </si>
  <si>
    <t>Vite inox con rondella di tenuta per copricolmo ventilato</t>
  </si>
  <si>
    <t>Nerezový vrut s těsnící podložkou pr Jet-Lüfter</t>
  </si>
  <si>
    <t>wkręt ze stali nierdzewnej z uszczelnieniem do gąsiora wentylowanego.</t>
  </si>
  <si>
    <t>Rozsdamentes acél csavar tömítő alátéttel szellőző gerincelemhez</t>
  </si>
  <si>
    <t>Skrutky z nehrdzavejúcej ocele s tesniacim krúžkom pre Jet-Lüfter</t>
  </si>
  <si>
    <r>
      <rPr>
        <sz val="11"/>
        <color theme="1"/>
        <rFont val="Arial"/>
        <family val="2"/>
      </rPr>
      <t>Niro-schroef met afdichtingschijf voor jetventilator</t>
    </r>
  </si>
  <si>
    <t>Kleparski nerjaveči vijaki s podložko za jet-zračne slemenjake</t>
  </si>
  <si>
    <r>
      <rPr>
        <sz val="11"/>
        <color theme="1"/>
        <rFont val="Arial"/>
        <family val="2"/>
      </rPr>
      <t>Niro-skruv med tätningsbricka för Jet-ventilation</t>
    </r>
  </si>
  <si>
    <r>
      <rPr>
        <sz val="11"/>
        <color theme="1"/>
        <rFont val="Arial"/>
        <family val="2"/>
      </rPr>
      <t>Niro-skrue med tætningsskive til jet-ventilator</t>
    </r>
  </si>
  <si>
    <r>
      <rPr>
        <sz val="11"/>
        <color theme="1"/>
        <rFont val="Arial"/>
        <family val="2"/>
      </rPr>
      <t>Skrue i rustfritt stål med tetningsskive for kanalventilasjon</t>
    </r>
  </si>
  <si>
    <t>Nehrđajući vijak s brtvenom pločicom za Jet-odzračni sljemenjak</t>
  </si>
  <si>
    <t>(4,5 x 45 mm, 250 Stk/Pkt)</t>
  </si>
  <si>
    <t>(4.5 × 45 mm, 250 pc./package)</t>
  </si>
  <si>
    <t>(4,5 × 45 mm, 250 par paquet)</t>
  </si>
  <si>
    <t>(4,5 x 45 mm, 250 Pz/CF)</t>
  </si>
  <si>
    <t>(4,5 x 45 mm, 250 ks/balení)</t>
  </si>
  <si>
    <t>(4.5 × 45 mm, 250 szt./opak.)</t>
  </si>
  <si>
    <t>(4,5 x 45 mm, 250 db/dob)</t>
  </si>
  <si>
    <t>(4,5 x 45 mm, 250 ks/balenie)</t>
  </si>
  <si>
    <r>
      <rPr>
        <sz val="11"/>
        <rFont val="Slimbach LT"/>
      </rPr>
      <t>(4,5 x 45 mm, 250 stks./pkt)</t>
    </r>
  </si>
  <si>
    <t>(4,5 x 45 mm, 250 kos/pakiranje)</t>
  </si>
  <si>
    <r>
      <rPr>
        <sz val="11"/>
        <rFont val="Slimbach LT"/>
      </rPr>
      <t>(4,5 x 45 mm, 250 st./paket)</t>
    </r>
  </si>
  <si>
    <r>
      <rPr>
        <sz val="11"/>
        <rFont val="Slimbach LT"/>
      </rPr>
      <t>(4,5 x 45 mm, 250 stk./pakke)</t>
    </r>
  </si>
  <si>
    <t>(4,5 x 45 mm, 250 kom./pak.)</t>
  </si>
  <si>
    <t>(4,5 x 45 mm, 250 Stk/Pkt, blank)</t>
  </si>
  <si>
    <t>(4.5 × 45 mm, 250 pc./package, uncoated)</t>
  </si>
  <si>
    <t>(4,5 × 45 mm, 250 par paquet, aluminium naturel)</t>
  </si>
  <si>
    <t>(4,5 x 45 mm, 250 Pz/CF, naturale)</t>
  </si>
  <si>
    <t>(4,5 x 45 mm, 250 ks/balení, přírodní)</t>
  </si>
  <si>
    <t>(4.5 × 45 mm, 250 szt./opak., kol. naturalny)</t>
  </si>
  <si>
    <t>(4,5 x 45 mm, 250 db/dob, natúr)</t>
  </si>
  <si>
    <t>(4,5 x 45 mm, 250 ks/balenie, prírodný hliník</t>
  </si>
  <si>
    <r>
      <rPr>
        <sz val="11"/>
        <rFont val="Slimbach LT"/>
      </rPr>
      <t>(4,5 x 45 mm, 250 stks./pkt, blank)</t>
    </r>
  </si>
  <si>
    <t>(4,5 x 45 mm, 250 kos/pakiranje, natur)</t>
  </si>
  <si>
    <r>
      <rPr>
        <sz val="11"/>
        <rFont val="Slimbach LT"/>
      </rPr>
      <t>(4,5 x 45 mm, 250 st./paket, blank)</t>
    </r>
  </si>
  <si>
    <r>
      <rPr>
        <sz val="11"/>
        <rFont val="Slimbach LT"/>
      </rPr>
      <t>(4,5 x 45 mm, 250 stk./pakke, blank)</t>
    </r>
  </si>
  <si>
    <t>(4,5 x 45 mm, 250 kom./pak. prirodni aluminij)</t>
  </si>
  <si>
    <t>(4,5 x 60 mm, 100 Stk/Pkt)</t>
  </si>
  <si>
    <t>(4.5 × 60 mm, 100 pc./package)</t>
  </si>
  <si>
    <t>(4,5 × 60 mm, 100 par paquet)</t>
  </si>
  <si>
    <t>(4,5 x 60 mm, 100 Pz/CF)</t>
  </si>
  <si>
    <t>(4,5 x 60 mm, 100 ks/balení)</t>
  </si>
  <si>
    <t>(4.5 × 60 mm, 100 szt./opak.)</t>
  </si>
  <si>
    <t>(4,5 x 60 mm, 100 db/dob)</t>
  </si>
  <si>
    <t>(4,5 x 60 mm, 100 ks/balenie)</t>
  </si>
  <si>
    <r>
      <rPr>
        <sz val="11"/>
        <rFont val="Slimbach LT"/>
      </rPr>
      <t>(4,5 x 60 mm, 100 stks./pkt)</t>
    </r>
  </si>
  <si>
    <t>(4,5 x 60 mm, 100 kos/pakiranje)</t>
  </si>
  <si>
    <r>
      <rPr>
        <sz val="11"/>
        <rFont val="Slimbach LT"/>
      </rPr>
      <t>(4,5 x 60 mm, 100 st./paket)</t>
    </r>
  </si>
  <si>
    <r>
      <rPr>
        <sz val="11"/>
        <rFont val="Slimbach LT"/>
      </rPr>
      <t>(4,5 x 60 mm, 100 stk./pakke)</t>
    </r>
  </si>
  <si>
    <t>(4,5 x 60 mm, 100 kom./pak.)</t>
  </si>
  <si>
    <t>(4,5 x 60 mm, 100 Stk/Pkt, blank)</t>
  </si>
  <si>
    <t>(4.5 × 60 mm, 100 pc./package, uncoated)</t>
  </si>
  <si>
    <t>(4,5 × 60 mm, 100 par paquet, aluminium naturel)</t>
  </si>
  <si>
    <t>(4,5 x 60 mm, 100 Pz/CF, naturale)</t>
  </si>
  <si>
    <t>(4,5 x 60 mm, 100 ks/balení, přírodní)</t>
  </si>
  <si>
    <t>(4.5 × 60 mm, 100 szt./opak., kol. naturalny)</t>
  </si>
  <si>
    <t>(4,5 x 60 mm, 100 db/dob, natúr)</t>
  </si>
  <si>
    <t>(4,5 x 60 mm, 100 ks/balenie, prírodný hliník)</t>
  </si>
  <si>
    <r>
      <rPr>
        <sz val="11"/>
        <rFont val="Slimbach LT"/>
      </rPr>
      <t>(4,5 x 60 mm, 100 stks./pkt, blank)</t>
    </r>
  </si>
  <si>
    <t>(4,5 x 60 mm, 100 kos/Pakiranje, natur)</t>
  </si>
  <si>
    <r>
      <rPr>
        <sz val="11"/>
        <rFont val="Slimbach LT"/>
      </rPr>
      <t>(4,5 x 60 mm, 100 st./paket, blank)</t>
    </r>
  </si>
  <si>
    <r>
      <rPr>
        <sz val="11"/>
        <rFont val="Slimbach LT"/>
      </rPr>
      <t>(4,5 x 60 mm, 100 stk./pakke, blank)</t>
    </r>
  </si>
  <si>
    <t>(4,5 x 60 mm, 100 kom./pak. prirodni aluminij)</t>
  </si>
  <si>
    <t>Froschmaullukenhaube</t>
  </si>
  <si>
    <t>frog-mouth vent cover, for riveting, smooth
air intake section: approx. 30 cm²</t>
  </si>
  <si>
    <t>Chapeau de raccordement pour chatière, lisse, à riveter
Section d’aération : env. 30 cm²</t>
  </si>
  <si>
    <t>Bocchetta per aerazione, da rivettare, finitura liscia
Sezione di ventilazione ca. 30 cm²</t>
  </si>
  <si>
    <t>Odvětrávací haubna, hladká
průřez odvětrání cca. 30 cm²</t>
  </si>
  <si>
    <t>pokrywa wywietrzników, do nitowania, gładka
powierzchnia wentylacji: około 30 cm²</t>
  </si>
  <si>
    <t>pontszellőző sapka sima. Szellőző keresztmetszet kb. 30 cm²</t>
  </si>
  <si>
    <t>odvetrávacia tvarovka pre upevnenie nitmi, hladká
otvor odvetrávania cca 30 cm²</t>
  </si>
  <si>
    <t>verluchtingskap met kikkerbekluik voor vastnieten glad
Ventilatiediameter ca. 30 cm²</t>
  </si>
  <si>
    <t>žabji zračnik za pritrjevanje s kovicami, presek zračenja ca. 30cm2</t>
  </si>
  <si>
    <t>halvmåneformad kåpa för nitning (slät) ventilationstvärsnitt cirka 30 cm²</t>
  </si>
  <si>
    <t>frømundslugekappe til pånitning glat
Ventilationstværsnit ca. 30 cm²</t>
  </si>
  <si>
    <t>deksel til froskemunnsformet luke klinkes fast glatt
ventilasjonstverrsnitt ca. 30 cm²</t>
  </si>
  <si>
    <t>pojedinačna kapa-odzračnik za zakivanje glatka
slobodni presjek cca. 30 cm²</t>
  </si>
  <si>
    <t>Froschmaulluke, für Dachplatte</t>
  </si>
  <si>
    <t>frog-mouth vent for roof tile (300 × 420 mm)
air intake section: approx. 30 cm²</t>
  </si>
  <si>
    <t>Chatière pour tuiles (300 × 420 mm)
Section d’aération : env. 30 cm²</t>
  </si>
  <si>
    <t>Tegola con bocchetta per aerazione 300x420 mm
Sezione di ventilazione ca. 30 cm²</t>
  </si>
  <si>
    <t>Odvětrávací prvek pro falcované tašky 300x420 mm
průřez odvětrání ca. 30 cm²</t>
  </si>
  <si>
    <t>wywietrznik dla dachówki klasycznej (300 × 420 mm)
powierzchnia wentylacji: około 30 cm²</t>
  </si>
  <si>
    <t>szellőzőelem Classic elemhez 300x420mm. Szellőző keresztmetszet kb. 30 cm²</t>
  </si>
  <si>
    <t>odvetrávacia falcovaná škridla, 300 x 420 mm
otvor odvetrávania cca 30 cm²</t>
  </si>
  <si>
    <t>verluchtingskap met kikkerbekluik voor dakplaat 300 x 420 mm
Ventilatiediameter ca. 30 cm²</t>
  </si>
  <si>
    <t>žabji zračnik za strešne plošče 300x420 mm, presek zračenja ca. 30cm2</t>
  </si>
  <si>
    <t>halvmåneformad kåpa för takplatta 300 x 420 mm ventilationstvärsnitt cirka 30 cm²</t>
  </si>
  <si>
    <t>frømundsluge til tagplade 300x420 mm
Ventilationstværsnit ca. 30 cm²</t>
  </si>
  <si>
    <t>froskemunnsformet luke for takplate 300x420 mm
ventilasjonstverrsnitt ca. 30 cm²</t>
  </si>
  <si>
    <t>pojedinačni odzračnik za krovnu ploču 300x420 mm
slobodni presjek cca. 30 cm²</t>
  </si>
  <si>
    <t>Dachausstiegsluke, 600x600mm</t>
  </si>
  <si>
    <t>roof hatch (595 x 595 mm); complete with wooden frame</t>
  </si>
  <si>
    <t>Tabatière (595 x 595 mm) ; avec cadre en bois</t>
  </si>
  <si>
    <t>Passo uomo (595x595 mm) completo di telaio in legno</t>
  </si>
  <si>
    <t>Výlezové okno (595x595 mm) komplett s dřevěným rámem</t>
  </si>
  <si>
    <t>właz dachowy (595 x 595 mm); kompletny na drewnianej ramie.</t>
  </si>
  <si>
    <t>tetőkibúvó ablak (595x595mm) komplett, fa kerettel</t>
  </si>
  <si>
    <t>povalové okno (595 x 595 mm) komplet s dreveným rámom</t>
  </si>
  <si>
    <t>dakluik (595 x 595 mm) compleet met houten frame</t>
  </si>
  <si>
    <t>zasilno strešno okno (595 x 595 mm) vklj. Z lesenim okvirjem</t>
  </si>
  <si>
    <t>taklucka (595 x 595 mm) komplett med träram</t>
  </si>
  <si>
    <t>tagluge (595x595 mm) komplet med træramme</t>
  </si>
  <si>
    <t>takluke (595x595 mm) komplett med treramme</t>
  </si>
  <si>
    <t>izlazni krovni prozor (595x595 mm) u kompletu s drvenim okvirom</t>
  </si>
  <si>
    <t>VELUX Einfassung</t>
  </si>
  <si>
    <t>flashing for Velux roof windows; stucco</t>
  </si>
  <si>
    <t>Raccordement pour fenêtres de toit Velux, stucco</t>
  </si>
  <si>
    <t>Conversa per lucernari Velux, goffrata</t>
  </si>
  <si>
    <t>Lemování pro střešní okna Veluxr stucco</t>
  </si>
  <si>
    <t>kołnierz do okien dachowych Velux; stucco</t>
  </si>
  <si>
    <t>burkolókeret Velux tetősíkablakhoz, stukkó</t>
  </si>
  <si>
    <t>lemovanie pre strešné okná Velux, stucco</t>
  </si>
  <si>
    <t>omlijsting voor Velux-ramen voor platte daken stucco</t>
  </si>
  <si>
    <t>obrobe za velux strešna okna stucco</t>
  </si>
  <si>
    <t>infattning för Velux-takfönster stuckatur</t>
  </si>
  <si>
    <t>indfatning til Velux-tagfladevindue stucco</t>
  </si>
  <si>
    <t>omramming for Velux-takvindu stucco</t>
  </si>
  <si>
    <t>opšav za Velux stucco</t>
  </si>
  <si>
    <t>ROTO Einfassung</t>
  </si>
  <si>
    <t>flashing for Roto roof windows; stucco</t>
  </si>
  <si>
    <t>Raccordement pour fenêtres de toit Roto, stucco</t>
  </si>
  <si>
    <t>Conversa per lucernari Roto, goffrata</t>
  </si>
  <si>
    <t>Lemování pro střešní okna Roto stucco</t>
  </si>
  <si>
    <t>kołnierz do okien dachowych Roto; stucco</t>
  </si>
  <si>
    <t>burkolókeret Roto tetősíkablakhoz, stukkó</t>
  </si>
  <si>
    <t>lemovanie pre strešné okná Roto, stucco</t>
  </si>
  <si>
    <t>omlijsting voor Roto-ramen voor platte daken stucco</t>
  </si>
  <si>
    <t>obroba za Roto strešna okna stucco</t>
  </si>
  <si>
    <t>infattning för Roto-takfönster stuckatur</t>
  </si>
  <si>
    <t>indfatning til Roto-tagfladevindue stucco</t>
  </si>
  <si>
    <t>omramming for Roto-takvindu stucco</t>
  </si>
  <si>
    <t>opšav za Roto stucco</t>
  </si>
  <si>
    <t>Einzeltritt</t>
  </si>
  <si>
    <t>safety tread, including two mounts</t>
  </si>
  <si>
    <t>Marche de toit, fournie avec deux platines</t>
  </si>
  <si>
    <t>Gradino singolo, incluse le due basi d'appoggio</t>
  </si>
  <si>
    <t>Nášlapný stupeň</t>
  </si>
  <si>
    <t>stopień kominiarski</t>
  </si>
  <si>
    <t>tipegő két talppal</t>
  </si>
  <si>
    <t>stúpací schodík</t>
  </si>
  <si>
    <t>enkele trede incl. twee voetdelen</t>
  </si>
  <si>
    <t>enojna stopnja vklj. Z 2 podložnima elementoma</t>
  </si>
  <si>
    <t>separat fotsteg inkl. två understycken</t>
  </si>
  <si>
    <t>enkelttrin inkl. to foddele</t>
  </si>
  <si>
    <t>enkelttrinn inkl. to underdeler</t>
  </si>
  <si>
    <t>pojedinačna stepenica uklj. dvije stope</t>
  </si>
  <si>
    <t>Laufstegstütze verzinkt für Laufstege</t>
  </si>
  <si>
    <t>walkway support (galvanised); for walkways</t>
  </si>
  <si>
    <t>Support de chemin de circulation (galvanisé) ; pour chemins de circulation</t>
  </si>
  <si>
    <t>Staffa per griglia pedonabile</t>
  </si>
  <si>
    <t>Držák stoupací plošiny - pozinkovaný</t>
  </si>
  <si>
    <t>wspornik ław kominiarskich ze stali ocynkowanej</t>
  </si>
  <si>
    <t xml:space="preserve">járórács tartóelem horganyzott </t>
  </si>
  <si>
    <t>držiak strešnej lávky - pozinkovaný</t>
  </si>
  <si>
    <t>loopbrugsteun gegalvaniseerd voor loopbruggen</t>
  </si>
  <si>
    <t xml:space="preserve">nosilec pohodne stopnice </t>
  </si>
  <si>
    <t>plattformsstöd förzinkat för plattformar</t>
  </si>
  <si>
    <t>løbebrostøtte galvaniseret til løbebroer</t>
  </si>
  <si>
    <t>plattformstøtte galvanisert for plattform</t>
  </si>
  <si>
    <t>nosač stepenice pocinčani</t>
  </si>
  <si>
    <t xml:space="preserve">Laufsteg 250x1200mm, inkl. Befestigung </t>
  </si>
  <si>
    <t>walkway ( 250 × 1,200 mm)</t>
  </si>
  <si>
    <t>Chemin de circulation (250 × 1 200 mm)</t>
  </si>
  <si>
    <t>Griglia pedonabile (250 x 1.200 mm)</t>
  </si>
  <si>
    <t>Stoupací plošina (250 x 1.200 mm)</t>
  </si>
  <si>
    <t>ława kominiarska ( 250 × 1,200 mm)</t>
  </si>
  <si>
    <t>járórács (250 x 1.200 mm)</t>
  </si>
  <si>
    <t>strešná lávka (250 x 1.200 mm)</t>
  </si>
  <si>
    <t>loopbrug (250 x 1200 mm)</t>
  </si>
  <si>
    <t>pohodna rešetka (250x1.200mm)</t>
  </si>
  <si>
    <t>plattform (250 x 1.200 mm)</t>
  </si>
  <si>
    <t>løbebro (250 x 1.200 mm)</t>
  </si>
  <si>
    <t>plattform (250 x 1200 mm)</t>
  </si>
  <si>
    <t>stepenica (250 x 1.200 mm)</t>
  </si>
  <si>
    <t xml:space="preserve">Laufsteg 250x800mm, inkl. Befestigung </t>
  </si>
  <si>
    <t>walkway ( 250 × 800 mm)</t>
  </si>
  <si>
    <t>Chemin de circulation (250 × 800 mm)</t>
  </si>
  <si>
    <t>Griglia pedonabile (250 x 800 mm)</t>
  </si>
  <si>
    <t xml:space="preserve"> Stoupací plošina (250 x 800 mm)</t>
  </si>
  <si>
    <t>ława kominiarska ( 250 × 800 mm)</t>
  </si>
  <si>
    <t>járórács (250 x 800 mm)</t>
  </si>
  <si>
    <t>strešná lávka (250 x 800 mm)</t>
  </si>
  <si>
    <t>loopbrug (250 x 800 mm)</t>
  </si>
  <si>
    <t>pohodna rešetka (250x800mm)</t>
  </si>
  <si>
    <t>plattform (250 x 800 mm)</t>
  </si>
  <si>
    <t>løbebro (250 x 800 mm)</t>
  </si>
  <si>
    <t>stepenica (250 x 800 mm)</t>
  </si>
  <si>
    <t xml:space="preserve">Laufsteg 250x600mm, inkl. Befestigung </t>
  </si>
  <si>
    <t>walkway ( 250 × 600 mm)</t>
  </si>
  <si>
    <t>Chemin de circulation (250 × 600 mm)</t>
  </si>
  <si>
    <t>Griglia pedonabile (250 x 600 mm)</t>
  </si>
  <si>
    <t xml:space="preserve"> Stoupací plošina (250 x 600 mm)</t>
  </si>
  <si>
    <t>ława kominiarska ( 250 × 600 mm)</t>
  </si>
  <si>
    <t>járórács (250 x 600 mm)</t>
  </si>
  <si>
    <t>strešná lávka (250 x 600 mm)</t>
  </si>
  <si>
    <t>loopbrug (250 x 600 mm)</t>
  </si>
  <si>
    <t>pohodna rešetka (250x600mm)</t>
  </si>
  <si>
    <t>plattform (250 x 600 mm)</t>
  </si>
  <si>
    <t>løbebro (250 x 600 mm)</t>
  </si>
  <si>
    <t>stepenica (250 x 600 mm)</t>
  </si>
  <si>
    <t xml:space="preserve">Laufsteg 250x420mm, inkl. Befestigung </t>
  </si>
  <si>
    <t>walkway ( 250 × 420 mm)</t>
  </si>
  <si>
    <t>Chemin de circulation (250 × 420 mm)</t>
  </si>
  <si>
    <t>Griglia pedonabile (250 x 420 mm)</t>
  </si>
  <si>
    <t xml:space="preserve"> Stoupací plošina (250 x 420 mm)</t>
  </si>
  <si>
    <t>ława kominiarska ( 250 × 420 mm)</t>
  </si>
  <si>
    <t>járórács (250 x 420 mm)</t>
  </si>
  <si>
    <t>strešná lávka (250 x 420 mm)</t>
  </si>
  <si>
    <t>loopbrug (250 x 420 mm)</t>
  </si>
  <si>
    <t>pohodna rešetka (250x420mm)</t>
  </si>
  <si>
    <t>plattform (250 x 420 mm)</t>
  </si>
  <si>
    <t>løbebro (250 x 420 mm)</t>
  </si>
  <si>
    <t>stepenica (250 x 420 mm)</t>
  </si>
  <si>
    <t>PREFALZ Ergänzungsband</t>
  </si>
  <si>
    <t>PREFALZ flashing strip</t>
  </si>
  <si>
    <t>Bande complémentaire</t>
  </si>
  <si>
    <t>PREFALZ Nastro di complemento</t>
  </si>
  <si>
    <t>PREFALZ Doplňkový svitek</t>
  </si>
  <si>
    <t>PREFALZ Taśma maskująca</t>
  </si>
  <si>
    <t>PREFALZ kiegészítő szalag</t>
  </si>
  <si>
    <t>PREFALZ zvitkový hliníkový plech</t>
  </si>
  <si>
    <r>
      <rPr>
        <sz val="11"/>
        <color theme="1"/>
        <rFont val="Arial"/>
        <family val="2"/>
      </rPr>
      <t>PREFALZ aanvullingsband</t>
    </r>
  </si>
  <si>
    <t>dopolnilni trak</t>
  </si>
  <si>
    <r>
      <rPr>
        <sz val="11"/>
        <color theme="1"/>
        <rFont val="Arial"/>
        <family val="2"/>
      </rPr>
      <t>PREFALZ extrabeslag</t>
    </r>
  </si>
  <si>
    <r>
      <rPr>
        <sz val="11"/>
        <color theme="1"/>
        <rFont val="Arial"/>
        <family val="2"/>
      </rPr>
      <t>PREFALZ suppleringsbånd</t>
    </r>
  </si>
  <si>
    <t>PREFALZ dopunska traka</t>
  </si>
  <si>
    <t>0,7 x 500 mm</t>
  </si>
  <si>
    <t>0.7 × 500 mm</t>
  </si>
  <si>
    <t>0,7 × 500 mm</t>
  </si>
  <si>
    <r>
      <rPr>
        <sz val="11"/>
        <rFont val="Slimbach LT"/>
      </rPr>
      <t>0,7 x 500 mm</t>
    </r>
  </si>
  <si>
    <r>
      <rPr>
        <sz val="11"/>
        <rFont val="Slimbach LT"/>
      </rPr>
      <t>0,7 x 500 mm</t>
    </r>
  </si>
  <si>
    <t>0,7 x 650 mm</t>
  </si>
  <si>
    <t>0.7 × 650 mm</t>
  </si>
  <si>
    <t>0,7 × 650 mm</t>
  </si>
  <si>
    <r>
      <rPr>
        <sz val="11"/>
        <rFont val="Slimbach LT"/>
      </rPr>
      <t>0,7 x 650 mm</t>
    </r>
  </si>
  <si>
    <r>
      <rPr>
        <sz val="11"/>
        <rFont val="Slimbach LT"/>
      </rPr>
      <t>0,7 x 650 mm</t>
    </r>
  </si>
  <si>
    <t>0,7 x 1.000 mm</t>
  </si>
  <si>
    <t>0.7 × 1,000 mm</t>
  </si>
  <si>
    <t>0,7 × 1 000 mm</t>
  </si>
  <si>
    <r>
      <rPr>
        <sz val="11"/>
        <rFont val="Slimbach LT"/>
      </rPr>
      <t>0,7 x 1000 mm</t>
    </r>
  </si>
  <si>
    <r>
      <rPr>
        <sz val="11"/>
        <rFont val="Slimbach LT"/>
      </rPr>
      <t>0,7 x 1.000 mm</t>
    </r>
  </si>
  <si>
    <r>
      <rPr>
        <sz val="11"/>
        <rFont val="Slimbach LT"/>
      </rPr>
      <t>0,7 x 1000 mm</t>
    </r>
  </si>
  <si>
    <t>Verbinder verzinkt für Laufsteg</t>
  </si>
  <si>
    <t>connector (galvanised); for walkways</t>
  </si>
  <si>
    <t>Élément d’assemblage (galvanisé) ; pour chemin de circulation</t>
  </si>
  <si>
    <t>Giunto zincato per griglia pedonabile</t>
  </si>
  <si>
    <t>Spojka pro stoupací plošiny, pozinkovaná</t>
  </si>
  <si>
    <t>łącznik ław kominiarskich ze stali ocynkowanej</t>
  </si>
  <si>
    <t>járórács összekötő elem horganyzott</t>
  </si>
  <si>
    <t>spojka strešnej lávky, pozinkovaná</t>
  </si>
  <si>
    <t>verbindingsstuk gegalvaniseerd voor loopbrug</t>
  </si>
  <si>
    <t>povezovalec pohodnih rešetk, pocinkan</t>
  </si>
  <si>
    <t>anslutning förzinkat för plattform</t>
  </si>
  <si>
    <t>forbinder galvaniseret til løbebro</t>
  </si>
  <si>
    <t>tilkobling galvanisert for plattform</t>
  </si>
  <si>
    <t>spojni element pocinčani za stepenicu</t>
  </si>
  <si>
    <t>Sicherheitsdachhaken nach EN 517 B, mit Tellerfüßen</t>
  </si>
  <si>
    <t>roof anchor hook according to EN 517 B (on mounts)</t>
  </si>
  <si>
    <t>Crochet de sécurité (conforme à la norme EN 517 B) ; monté sur platines</t>
  </si>
  <si>
    <t>Staffa anticaduta conforme EN 517B su basi di fissaggio</t>
  </si>
  <si>
    <t xml:space="preserve">Bezpečnostní hák na kruhových podložkách  EN 517B </t>
  </si>
  <si>
    <t>hak dachowy zgodny z normą EN 517 B (stal nierdzewna)</t>
  </si>
  <si>
    <t>tetőbiztonsági kampó EN 517B szabvány szerinti, talpakon</t>
  </si>
  <si>
    <t xml:space="preserve">bezpečnostný hák na kruhových podperách podľa EN 517B </t>
  </si>
  <si>
    <t>dakveiligheidshaak conform EN 517B op voetdelen</t>
  </si>
  <si>
    <t>Varovalni kavelj po EN 517b, na podložnih elementih</t>
  </si>
  <si>
    <t>säkerhetstakkrokar enligt EN 517B på understycken</t>
  </si>
  <si>
    <t>tagsikkerhedskrog i henhold til EN 517B på foddele</t>
  </si>
  <si>
    <t>tak-sikkerhetskroker iht. EN 517B på underdeler</t>
  </si>
  <si>
    <t>krovna sigurnosna kuka prema EN 517B na stopama</t>
  </si>
  <si>
    <t>Dachsicherheitshaken, nach DIN EN 517 B</t>
  </si>
  <si>
    <t>roof anchor hook according to EN 517 B</t>
  </si>
  <si>
    <t>Crochet de sécurité (conforme à la norme EN 517 B)</t>
  </si>
  <si>
    <t>Staffa anticaduta conforme EN 517B</t>
  </si>
  <si>
    <t>Bezpečnostní hák nach EN 517B</t>
  </si>
  <si>
    <t>hak dachowy zgodny z normą EN 517 B</t>
  </si>
  <si>
    <t>tetőbiztonsági kampó EN 517B szabvány szerinti</t>
  </si>
  <si>
    <t>bezpečnostný hák podľa EN 517B</t>
  </si>
  <si>
    <t>dakveiligheidshaak conform EN 517B</t>
  </si>
  <si>
    <t>varovalni kavelj po EN 517b</t>
  </si>
  <si>
    <t>säkerhetstakkrokar enligt EN 517B</t>
  </si>
  <si>
    <t>tagsikkerhedskrog i henhold til EN 517B</t>
  </si>
  <si>
    <t>tak-sikkerhetskroker iht. EN 517B</t>
  </si>
  <si>
    <t>krovna sigurnosna kuka prema EN 517B</t>
  </si>
  <si>
    <t xml:space="preserve">Einfassungsplatte, für Dachplatte </t>
  </si>
  <si>
    <t>flashing plate for roof tile, smooth, Ø 80–125 mm</t>
  </si>
  <si>
    <t>Raccordement de ventilation pour tuiles, lisse, Ø 80-125 mm</t>
  </si>
  <si>
    <t>PREFAConversa di ventilazione per Tegole, liscia, per tubi Ø 80 - 125 mm</t>
  </si>
  <si>
    <t>Prostup pro falcované tašky hladký, Ø 80 - 125 mm</t>
  </si>
  <si>
    <t>element wentylacyjny dla dachówek klasycznych, gładki, Ø 80–125 mm</t>
  </si>
  <si>
    <t>kivezető elem Classic elemhez, sima, Ø 80 - 125 mm</t>
  </si>
  <si>
    <t>Prestup pre falcované škridle hladký, Ø 80 - 125 mm</t>
  </si>
  <si>
    <t>inwerkplaat voor dakplaat, glad, Ø 80 - 125 mm</t>
  </si>
  <si>
    <t>prehodna plošča za strešne plošče, gladka, premer 80 - 125 mm</t>
  </si>
  <si>
    <t>infattningsplatta för takplatta, slät, Ø 80-125 mm</t>
  </si>
  <si>
    <t>indfatningsplade til tagplade, glat, Ø 80 - 125 mm</t>
  </si>
  <si>
    <t>innfatningsplate for takplate, glatt, Ø 80 - 125 mm</t>
  </si>
  <si>
    <t>otvor za ventilaciju za krovnu ploču, glatko, Ø 80 - 125 mm</t>
  </si>
  <si>
    <t xml:space="preserve">Universaleinfassungsplatte, 2-teilig </t>
  </si>
  <si>
    <t>universal flashing, 2 parts, smooth, Ø 40–120 mm</t>
  </si>
  <si>
    <t>Raccordement universel, deux éléments, lisse, Ø 40-120 mm</t>
  </si>
  <si>
    <t>Conversa universale, 2pezzi, liscia, per tubi Ø 40 - 120 mm</t>
  </si>
  <si>
    <t>Univerzální prostup 2 dílný, hladký, Ø 40 - 120 mm</t>
  </si>
  <si>
    <t>element uniwersalny wentylacyjny dwuczęściowy, gładki, Ø 40–120 mm</t>
  </si>
  <si>
    <t>univerzális kivezető elem, 2-részes, sima, Ø 40 - 120 mm</t>
  </si>
  <si>
    <t>univerzálny prestupový prvok, 2 dielny, hladký, Ø 40 - 120 mm</t>
  </si>
  <si>
    <t>universele omlijsting 2-delig, glad, Ø 40 - 120 mm</t>
  </si>
  <si>
    <t>univerzalna dvodelna prehodna plošča, gladka premer 40 - 120 mm</t>
  </si>
  <si>
    <t>universalinfattning i två delar, slät, Ø 40-120 mm</t>
  </si>
  <si>
    <t>indfatningsplade todelt, glat, Ø 40 - 120 mm</t>
  </si>
  <si>
    <t>universalinnfatning 2-delt, glatt, Ø 40 - 120 mm</t>
  </si>
  <si>
    <t>univerzalni otvor, dvodijelni, glatko, Ø 40 - 120 mm</t>
  </si>
  <si>
    <t>MIT Wärmedämmung</t>
  </si>
  <si>
    <t>WITH thermal insulation</t>
  </si>
  <si>
    <t>AVEC isolation thermique</t>
  </si>
  <si>
    <t>CON isolante termico</t>
  </si>
  <si>
    <t>Včetně zateplení</t>
  </si>
  <si>
    <t xml:space="preserve">Z izolacją termiczną </t>
  </si>
  <si>
    <t>hőszigeteléssel</t>
  </si>
  <si>
    <t>vrátane zateplenia</t>
  </si>
  <si>
    <r>
      <rPr>
        <sz val="11"/>
        <rFont val="Slimbach LT"/>
      </rPr>
      <t>MET isolatie</t>
    </r>
  </si>
  <si>
    <t>S toplotno izolacija</t>
  </si>
  <si>
    <r>
      <rPr>
        <sz val="11"/>
        <rFont val="Slimbach LT"/>
      </rPr>
      <t>MED värmeisolering</t>
    </r>
  </si>
  <si>
    <r>
      <rPr>
        <sz val="11"/>
        <rFont val="Slimbach LT"/>
      </rPr>
      <t>MED varmeisolering</t>
    </r>
  </si>
  <si>
    <r>
      <rPr>
        <sz val="11"/>
        <rFont val="Slimbach LT"/>
      </rPr>
      <t>MED varmeisolasjon</t>
    </r>
  </si>
  <si>
    <t>SA toplinskom izolacijom</t>
  </si>
  <si>
    <t>OHNE Wärmedämmung</t>
  </si>
  <si>
    <t>WITHOUT thermal insulation</t>
  </si>
  <si>
    <t>SANS isolation thermique</t>
  </si>
  <si>
    <t>SENZA isolante termico</t>
  </si>
  <si>
    <t>Bez zateplení</t>
  </si>
  <si>
    <t xml:space="preserve">BEZ izolacji termicznej </t>
  </si>
  <si>
    <t>hőszigetelés nélkül</t>
  </si>
  <si>
    <t>bez zateplenia</t>
  </si>
  <si>
    <r>
      <rPr>
        <sz val="11"/>
        <rFont val="Slimbach LT"/>
      </rPr>
      <t>ZONDER isolatie</t>
    </r>
  </si>
  <si>
    <t>BREZ toplotne izolacije</t>
  </si>
  <si>
    <r>
      <rPr>
        <sz val="11"/>
        <rFont val="Slimbach LT"/>
      </rPr>
      <t>UTAN värmeisolering</t>
    </r>
  </si>
  <si>
    <r>
      <rPr>
        <sz val="11"/>
        <rFont val="Slimbach LT"/>
      </rPr>
      <t>UDEN varmeisolering</t>
    </r>
  </si>
  <si>
    <r>
      <rPr>
        <sz val="11"/>
        <rFont val="Slimbach LT"/>
      </rPr>
      <t>UTEN varmeisolasjon</t>
    </r>
  </si>
  <si>
    <t>BEZ toplinske izolacije</t>
  </si>
  <si>
    <t>Maße:</t>
  </si>
  <si>
    <t>Dimensions:</t>
  </si>
  <si>
    <t>Dimensioni</t>
  </si>
  <si>
    <t>Rozměry</t>
  </si>
  <si>
    <t>wymiary:</t>
  </si>
  <si>
    <t>méretek:</t>
  </si>
  <si>
    <t>Rozmery:</t>
  </si>
  <si>
    <r>
      <rPr>
        <sz val="11"/>
        <rFont val="Slimbach LT"/>
      </rPr>
      <t>Afmetingen:</t>
    </r>
  </si>
  <si>
    <t>Dimenzije</t>
  </si>
  <si>
    <r>
      <rPr>
        <sz val="11"/>
        <rFont val="Slimbach LT"/>
      </rPr>
      <t>Mått:</t>
    </r>
  </si>
  <si>
    <r>
      <rPr>
        <sz val="11"/>
        <rFont val="Slimbach LT"/>
      </rPr>
      <t>Mål:</t>
    </r>
  </si>
  <si>
    <t>Dimenzije:</t>
  </si>
  <si>
    <t>moosgrün/hellgrau</t>
  </si>
  <si>
    <t>moss green/light grey</t>
  </si>
  <si>
    <t>vert mousse/gris souris</t>
  </si>
  <si>
    <t>verde muschio/grigio chiaro</t>
  </si>
  <si>
    <t>mechově zelená/světle šedá</t>
  </si>
  <si>
    <t>zieleń mchu / jasnoszary</t>
  </si>
  <si>
    <t>mohazöld/világosszürke</t>
  </si>
  <si>
    <t>machovozelená/svetlošedá</t>
  </si>
  <si>
    <r>
      <rPr>
        <sz val="11"/>
        <rFont val="Slimbach LT"/>
      </rPr>
      <t>mosgroen/lichtgrijs</t>
    </r>
  </si>
  <si>
    <t>mahovo zelena/svetlo siva</t>
  </si>
  <si>
    <r>
      <rPr>
        <sz val="11"/>
        <rFont val="Slimbach LT"/>
      </rPr>
      <t>mossgrön/ljusgrå</t>
    </r>
  </si>
  <si>
    <r>
      <rPr>
        <sz val="11"/>
        <rFont val="Slimbach LT"/>
      </rPr>
      <t>mosgrøn/lys grå</t>
    </r>
  </si>
  <si>
    <r>
      <rPr>
        <sz val="11"/>
        <rFont val="Slimbach LT"/>
      </rPr>
      <t>mosegrønn/lys grå</t>
    </r>
  </si>
  <si>
    <t>mahovinasto zelena/svijetlo siva</t>
  </si>
  <si>
    <t>braun/anthrazit</t>
  </si>
  <si>
    <t>brown/anthracite</t>
  </si>
  <si>
    <t>brun/anthracite</t>
  </si>
  <si>
    <t>marrone/antracite</t>
  </si>
  <si>
    <t>tmavě hnědá/antracit</t>
  </si>
  <si>
    <t>brązowy / antracytowy</t>
  </si>
  <si>
    <t>barna/antracit</t>
  </si>
  <si>
    <t>hnedá/antracitová</t>
  </si>
  <si>
    <r>
      <rPr>
        <sz val="11"/>
        <rFont val="Slimbach LT"/>
      </rPr>
      <t>bruin/antraciet</t>
    </r>
  </si>
  <si>
    <t>anodik rjava/antracitna</t>
  </si>
  <si>
    <r>
      <rPr>
        <sz val="11"/>
        <rFont val="Slimbach LT"/>
      </rPr>
      <t>brun/antracit</t>
    </r>
  </si>
  <si>
    <r>
      <rPr>
        <sz val="11"/>
        <rFont val="Slimbach LT"/>
      </rPr>
      <t>brun/antrazit</t>
    </r>
  </si>
  <si>
    <r>
      <rPr>
        <sz val="11"/>
        <rFont val="Slimbach LT"/>
      </rPr>
      <t>brun/antrasitt</t>
    </r>
  </si>
  <si>
    <t>smeđa/antracit</t>
  </si>
  <si>
    <t>ziegelrot/oxydrot</t>
  </si>
  <si>
    <t>brick red/oxide red</t>
  </si>
  <si>
    <t>rouge tuile/rouge oxyde</t>
  </si>
  <si>
    <t>rosso cotto/rosso ossido</t>
  </si>
  <si>
    <t>cihlově červená/tmavě červená</t>
  </si>
  <si>
    <t>ceglasty / czerwony</t>
  </si>
  <si>
    <t>téglavörös/rozsdavörös</t>
  </si>
  <si>
    <t>tehlovočervená/tmavočervená</t>
  </si>
  <si>
    <r>
      <rPr>
        <sz val="11"/>
        <rFont val="Slimbach LT"/>
      </rPr>
      <t>dakpannenrood/oxiderood</t>
    </r>
  </si>
  <si>
    <t>barkreno rjava/oksidno rdeča</t>
  </si>
  <si>
    <r>
      <rPr>
        <sz val="11"/>
        <rFont val="Slimbach LT"/>
      </rPr>
      <t>tegelröd/oxidröd</t>
    </r>
  </si>
  <si>
    <r>
      <rPr>
        <sz val="11"/>
        <rFont val="Slimbach LT"/>
      </rPr>
      <t>teglrød/oxidrød</t>
    </r>
  </si>
  <si>
    <r>
      <rPr>
        <sz val="11"/>
        <rFont val="Slimbach LT"/>
      </rPr>
      <t>teglsteinsrød/oksidrød</t>
    </r>
  </si>
  <si>
    <t>ciglasto crvena/oksid crvena</t>
  </si>
  <si>
    <t>prefaweiß/prefaweiß</t>
  </si>
  <si>
    <t>white/white</t>
  </si>
  <si>
    <t>blanc prefa/blanc prefa</t>
  </si>
  <si>
    <t>bianco prefa/bianco prefa</t>
  </si>
  <si>
    <t>prefabílá/bílá</t>
  </si>
  <si>
    <t>biały PREFA</t>
  </si>
  <si>
    <t>prefafehér/prefafehér</t>
  </si>
  <si>
    <t>biela/biela</t>
  </si>
  <si>
    <r>
      <rPr>
        <sz val="11"/>
        <rFont val="Slimbach LT"/>
      </rPr>
      <t>prefawit/prefawit</t>
    </r>
  </si>
  <si>
    <t>bela/bela</t>
  </si>
  <si>
    <r>
      <rPr>
        <sz val="11"/>
        <rFont val="Slimbach LT"/>
      </rPr>
      <t>prefavit/prefavit</t>
    </r>
  </si>
  <si>
    <r>
      <rPr>
        <sz val="11"/>
        <rFont val="Slimbach LT"/>
      </rPr>
      <t>prefahvid/prefahvid</t>
    </r>
  </si>
  <si>
    <r>
      <rPr>
        <sz val="11"/>
        <rFont val="Slimbach LT"/>
      </rPr>
      <t>prefahvit/prefahvit</t>
    </r>
  </si>
  <si>
    <t>bijela/bijela</t>
  </si>
  <si>
    <t>Entlüftungshaube 100</t>
  </si>
  <si>
    <t>ventilation cap (Ø 100), smooth</t>
  </si>
  <si>
    <t>Raccordement d’aération (Ø 100), lisse</t>
  </si>
  <si>
    <t>Calotta di aerazione Ø 100, liscia</t>
  </si>
  <si>
    <t>Kolmý prostup Ø 100, hladká</t>
  </si>
  <si>
    <t>Pokrywa wywietrzników (Ø 100), gładka</t>
  </si>
  <si>
    <t xml:space="preserve">szellőzőcső derékszögű átvezetéssel Ø 100, sima </t>
  </si>
  <si>
    <t>kolmý prestup Ø 100, hladký</t>
  </si>
  <si>
    <t>ventilatiekap Ø 100, glad</t>
  </si>
  <si>
    <t>prezračevalna kapa Ø  100, gladka</t>
  </si>
  <si>
    <t>ventilationskåpa Ø 100, slät</t>
  </si>
  <si>
    <t>udluftningshætte Ø 100, glat</t>
  </si>
  <si>
    <t>ventilasjonshette Ø 100, glatt</t>
  </si>
  <si>
    <t>odzračna kapa Ø 100, glatko</t>
  </si>
  <si>
    <t>Entlüftungsrohr DM 100</t>
  </si>
  <si>
    <t>vent pipe (Ø 100), suitable for high-temperature pipe (nominal size 110)</t>
  </si>
  <si>
    <t>Tuyau de ventilation (Ø 100), compatible tuyaux HT (DN 110)</t>
  </si>
  <si>
    <t>Tubo torretta aerazione Ø 100, adatto a tubo HT DN 110</t>
  </si>
  <si>
    <t>Nástavec odvětránír Ø 100, vhodné pro HT-rouru velikosti 110</t>
  </si>
  <si>
    <t>rura wentylacyjna (Ø 100), przystosowana do rur o wysokie temperaturze (dla rur DN 110)</t>
  </si>
  <si>
    <t>szellőzőcső Ø 100, 110 PVC csőhöz</t>
  </si>
  <si>
    <t>odvetrávacia rúra Ø 100, vhodná pre PVC rúru veľkosti 110</t>
  </si>
  <si>
    <t>ventilatiebuis Ø 100, geschikt voor HT-buis NW 110</t>
  </si>
  <si>
    <t>prezračevalna cev Ø  100, ustrezna za cev HT-NW 110</t>
  </si>
  <si>
    <t>ventilationsrör ⌀ 100, lämpligt för HT-rör NV 110</t>
  </si>
  <si>
    <t>udluftningsrør ⌀ 100, passer til HT-rør NW 110</t>
  </si>
  <si>
    <t>ventilasjonsrør ⌀ 100, passer til HT-rør NW 110</t>
  </si>
  <si>
    <t>odzračna cijev ⌀ 100, prikladna za HT-cijev DN 110</t>
  </si>
  <si>
    <t>Entlüftungsrohr DM 120</t>
  </si>
  <si>
    <t>vent pipe (Ø 120), suitable for high-temperature pipe (nominal size 125)</t>
  </si>
  <si>
    <t>Tuyau de ventilation (Ø 120), compatible tuyaux HT (DN 125)</t>
  </si>
  <si>
    <t>Tubo torretta aerazione Ø 120, adatto a tubo HT DN 125</t>
  </si>
  <si>
    <t xml:space="preserve"> Nástavec odvětránír Ø 120, vhodné pro HT-rouru velikosti 125</t>
  </si>
  <si>
    <t>rura wentylacyjna (Ø 120), przystosowana do rur o wysokie temperaturze (dla rur DN 125)</t>
  </si>
  <si>
    <t>szellőzőcső Ø 120, 125 PVC csőhöz</t>
  </si>
  <si>
    <t>odvetrávacia rúra Ø 120, vhodná pre PVC rúru veľkosti 125</t>
  </si>
  <si>
    <t>ventilatiebuis Ø 120, geschikt voor HT-buis NW 125</t>
  </si>
  <si>
    <t>prezračevalna cev Ø  120, ustrezna za cev HT-NW 125</t>
  </si>
  <si>
    <t>ventilationsrör ⌀ 120, lämpligt för HT-rör NV 125</t>
  </si>
  <si>
    <t>udluftningsrør ⌀ 120, passer til HT-rør NW 125</t>
  </si>
  <si>
    <t>ventilasjonsrør ⌀ 120, passer til HT-rør NW 125</t>
  </si>
  <si>
    <t>odzračna cijev ⌀ 120, prikladna za HT-cijev DN 125</t>
  </si>
  <si>
    <t>Faltmanschette 100</t>
  </si>
  <si>
    <t>flexible pipe collar (Ø 100–130)</t>
  </si>
  <si>
    <t>Soufflet plissé (Ø 100-130)</t>
  </si>
  <si>
    <t>Guarnizione per fori passanti Ø 100-130</t>
  </si>
  <si>
    <t>Manžeta Ø 100-130</t>
  </si>
  <si>
    <t>mankiet zginany (Ø 100–130)</t>
  </si>
  <si>
    <t>csőgallér Ø  100-130</t>
  </si>
  <si>
    <t>manžeta Ø 100-130</t>
  </si>
  <si>
    <t>vouwmof Ø 100 - 130</t>
  </si>
  <si>
    <t>tesnilna manšeta Ø100-130</t>
  </si>
  <si>
    <t>fallmanschett Ø 100-130</t>
  </si>
  <si>
    <t>foldemanchet Ø 100-130</t>
  </si>
  <si>
    <t>fleksibel rørmansjett Ø 100-130</t>
  </si>
  <si>
    <t>gumena obujmica Ø 100-130</t>
  </si>
  <si>
    <t>Unterlagsplatte, für DS, DR29, DP, R.16, FX.12 L=680 x B=125 mm, stucco</t>
  </si>
  <si>
    <t>base plate (length = 680 × width = 125 mm), stucco</t>
  </si>
  <si>
    <t>Plaque de support (longueur = 680 × largeur = 125 mm), stucco</t>
  </si>
  <si>
    <t>Sottopiastra L=680 x B=125 mm, goffrata</t>
  </si>
  <si>
    <t>Montážní podložka D=680 x Š=125 mm, stucco</t>
  </si>
  <si>
    <t>element podkładowy (długość = 680 × szerokość = 125 mm), stucco</t>
  </si>
  <si>
    <t>alátétlemez H=680 x SZ=125mm, stukkó</t>
  </si>
  <si>
    <t>montážna podložka D=680 x Š=125 mm, stucco</t>
  </si>
  <si>
    <t>steunplaat L=680 x B=125 mm, stucco</t>
  </si>
  <si>
    <t>podložna plošča L=680 x B=125 mm, stucco</t>
  </si>
  <si>
    <t>underlagsskiva L = 680 x B = 125 mm, stuckatur</t>
  </si>
  <si>
    <t>underlagsplade L=680 x B=125 mm, stucco</t>
  </si>
  <si>
    <t>underlagsplate L=680 x B=125 mm, stucco</t>
  </si>
  <si>
    <t>podložna ploča D=680 x Š=125 mm, stucco</t>
  </si>
  <si>
    <t>Unterlagsplatte, für DS, DR29, DP, R.16, FX.12</t>
  </si>
  <si>
    <t>base plate (length = 540 × width = 125 mm), stucco</t>
  </si>
  <si>
    <t>Plaque de support (longueur = 540 × largeur = 125 mm), stucco</t>
  </si>
  <si>
    <t>Sottopiastra L=540 x B=125 mm, goffrata</t>
  </si>
  <si>
    <t>Montážní podložka D=540 x Š=125 mm, stucco</t>
  </si>
  <si>
    <t>element podkładowy (długość = 540 × szerokość = 125 mm), stucco</t>
  </si>
  <si>
    <t>alátétlemez H=540 x SZ=125mm, stukkó</t>
  </si>
  <si>
    <t>montážna podložka D=540 x Š=125 mm, stucco</t>
  </si>
  <si>
    <t>steunplaat L=540 x B=125 mm, stucco</t>
  </si>
  <si>
    <t>podložna plošča L=540 x B=125 mm, stucco</t>
  </si>
  <si>
    <t>underlagsskiva L = 540 x B = 125 mm, stuckatur</t>
  </si>
  <si>
    <t>underlagsplade L=540 x B=125 mm, stucco</t>
  </si>
  <si>
    <t>underlagsplate L=540 x B=125 mm, stucco</t>
  </si>
  <si>
    <t>podložna ploča D=540 x Š=125 mm, stucco</t>
  </si>
  <si>
    <t>Schneestopper, Typ PP/PD, für DP, DR29</t>
  </si>
  <si>
    <t>snow guard for roof tile and rhomboid roof tile 29 × 29</t>
  </si>
  <si>
    <t>Arrêt de neige pour tuiles et losanges de toiture 29 × 29</t>
  </si>
  <si>
    <t>Nasi fermaneve per Tegola e Scaglia 29</t>
  </si>
  <si>
    <t>Sněhový hák pro falcované tašky a šablony 29x29</t>
  </si>
  <si>
    <t>bariera śniegowa do dachówki klasycznej i romb 29 x 29</t>
  </si>
  <si>
    <t>hóvágó Classic és Rombusz elemhez 29x29</t>
  </si>
  <si>
    <t>zachytávač snehu na falcované škridle a šablóny 29x29</t>
  </si>
  <si>
    <t>sneeuwstopper voor dakplaat en DAKLOSANGE 29 × 29</t>
  </si>
  <si>
    <t>snegolov za strešne plošče in strešne rombe 29x29</t>
  </si>
  <si>
    <t>snöstoppare för takplatta och TAKROMB 29 x 29</t>
  </si>
  <si>
    <t>snestopper til tagplade og RUDEFORMET TAGPLADE 29 × 29</t>
  </si>
  <si>
    <t>snøstopper for takplate og TAKSTEIN 29 × 29</t>
  </si>
  <si>
    <t>snjegobran za krovnu poču i krovni romb 29 × 29</t>
  </si>
  <si>
    <t>Schneerechenhaken, inkl. Befestigung</t>
  </si>
  <si>
    <t>pipe-style snow guard bracket</t>
  </si>
  <si>
    <t>Crochet pour tubes pare-neige</t>
  </si>
  <si>
    <t>Staffa fermaneve</t>
  </si>
  <si>
    <t>Držák sněhové zábrany</t>
  </si>
  <si>
    <t>wspornik bariery śniegowej prętowej</t>
  </si>
  <si>
    <t>hófogótartó</t>
  </si>
  <si>
    <t>držiak rúrkového zachytávača snehu</t>
  </si>
  <si>
    <t>sneeuwharkhaken</t>
  </si>
  <si>
    <t>sistem za linijski snegolov</t>
  </si>
  <si>
    <t>konsol för snöräcke</t>
  </si>
  <si>
    <t>snegitterkrog</t>
  </si>
  <si>
    <t>snøfangerfester</t>
  </si>
  <si>
    <t>rešetkasti snjegobran</t>
  </si>
  <si>
    <t>Rundstange, f. Schneerechen, 15mm, inkl. Verbindungshülse</t>
  </si>
  <si>
    <t>pipe (Ø 15 × 3,000 mm) for pipe-style snow guard brackets</t>
  </si>
  <si>
    <t>Tube pare-neige (Ø 15 × 3 000 mm) ; pour les crochets pour tubes pare-neige</t>
  </si>
  <si>
    <t>Tubo fermaneve (Ø15 x 3.000 mm) per Staffa fermaneve</t>
  </si>
  <si>
    <t>Tyč sněhové zábrany (15 Ø x 3.000 mm) pro držák sněhové zábrany</t>
  </si>
  <si>
    <t>pręt okrągły (Ø 15 × 3,000 mm) do wspornika bariery śniegowej prętowej</t>
  </si>
  <si>
    <t>hófogórúd 15 Ø x 3.000 mm)</t>
  </si>
  <si>
    <t>rúrka zachytávača snehu (15 Ø x 3.000 mm) do rúrkových zachytávačov snehu</t>
  </si>
  <si>
    <t>ronde stang (15 Ø x 3000 mm) voor sneeuwharkhaak</t>
  </si>
  <si>
    <t>cev (15Ø x 3.000 mm), za snegolov</t>
  </si>
  <si>
    <t>rundstång (15 Ø x 3.000 mm) för konsol för snöräcke</t>
  </si>
  <si>
    <t>rundstang (15 Ø x 3.000 mm) til snegitterkrog</t>
  </si>
  <si>
    <t>rund stang (15 Ø x 3000 mm) for snøfangerfester</t>
  </si>
  <si>
    <t>okrugla šipka (15 Ø x 3.000 mm) rešetke snjegobrana</t>
  </si>
  <si>
    <t>Abschluss f. Schneerechen</t>
  </si>
  <si>
    <t>end piece for pipe-style snow guard</t>
  </si>
  <si>
    <t>Embout pour tubes pare-neige</t>
  </si>
  <si>
    <t>Testata per tubi fermaneve</t>
  </si>
  <si>
    <t>Ukončení tyčové sněhové zábrany</t>
  </si>
  <si>
    <t>zakończenie bariery śniegowej prętowej</t>
  </si>
  <si>
    <t>záróelem hófogóhoz</t>
  </si>
  <si>
    <t>ukončovací prvok rúrkového zachytávača snehu</t>
  </si>
  <si>
    <t>afsluiting voor sneeuwhark</t>
  </si>
  <si>
    <t>zaključek za linijski snegolov</t>
  </si>
  <si>
    <t>Slutstycke för snöräcke</t>
  </si>
  <si>
    <t>afslutning til snegitter</t>
  </si>
  <si>
    <t>endestykke for snøfanger</t>
  </si>
  <si>
    <t>završetak za rešetkasti snjegobran</t>
  </si>
  <si>
    <t>Haken für Schneerechensystem, inkl. Befestigungsmaterial</t>
  </si>
  <si>
    <t>pipe-style snow guard system (205 × 66 × 303 mm)</t>
  </si>
  <si>
    <t>Système pare-neige (205 × 66 × 303 mm)</t>
  </si>
  <si>
    <t>Staffa fermaneve a triplo tubolare esagonale (205 x 66 x 303 mm)</t>
  </si>
  <si>
    <t>Držák sněhové zábrany profilované trubky (205 x 66 x 303 mm)</t>
  </si>
  <si>
    <t>rurowy system ochrony przed śniegiem (205 × 66 × 303 mm)</t>
  </si>
  <si>
    <t>hófogórendszer (205 x 66 x 303 mm)</t>
  </si>
  <si>
    <t>systémový rúrkový zachytávač snehu pre profilované rúrky (205 x 66 x 303 mm)</t>
  </si>
  <si>
    <t>sneeuwharksysteem (205 x 66 x 303 mm)</t>
  </si>
  <si>
    <t>sistem za linijski snegolov (205x66x303 mm)</t>
  </si>
  <si>
    <t>snöräckessystem (205 x 66 x 303 mm)</t>
  </si>
  <si>
    <t>snegittersystem (205 x 66 x 303 mm)</t>
  </si>
  <si>
    <t>snøfangersystem (205 x 66 x 303 mm)</t>
  </si>
  <si>
    <t>sustav rešetkastog snjegobrana (205 x 66 x 303 mm)</t>
  </si>
  <si>
    <t>Einlegeprofil f.Schneerechensystem, 3m</t>
  </si>
  <si>
    <t>removable pipe for pipe-style snow guard system (3,000 mm)</t>
  </si>
  <si>
    <t>Barre pour système pare-neige (3 000 mm)</t>
  </si>
  <si>
    <t>Tubolare fermaneve a sezione esagonale (3.000 mm)</t>
  </si>
  <si>
    <t>Profilovaná trubka sněhové zábrany (3.000 mm)</t>
  </si>
  <si>
    <t>wyjmowana rura dla rurowego systemu ochrony przed śniegiem (3,000 mm)</t>
  </si>
  <si>
    <t>hófogórúd hófogórendszerhez (3.000 mm)</t>
  </si>
  <si>
    <t>profilovaná rúrka zachytávača snehu (3.000 mm)</t>
  </si>
  <si>
    <t>sneeuwharksysteem inlegprofiel (3000 mm)</t>
  </si>
  <si>
    <t>palice za snegolovni sistem (3.000 mmm)</t>
  </si>
  <si>
    <t>snöräckessystem inläggningsprofil (3.000 mm)</t>
  </si>
  <si>
    <t>snegittersystem ilægningsprofil (3.000 mm)</t>
  </si>
  <si>
    <t>snøfangersystem innleggingsprofil (3000 mm)</t>
  </si>
  <si>
    <t>uložni profil sustava rešetkastog snjegobrana (3.000 mm)</t>
  </si>
  <si>
    <t>Eiskralle f. Einlegeprofil</t>
  </si>
  <si>
    <t>ice-retention bracket for pipe-style snow guard system</t>
  </si>
  <si>
    <t>Arrêt-glace pour système pare-neige</t>
  </si>
  <si>
    <t>Artigio rompighiaggio per tubolare fermaneve</t>
  </si>
  <si>
    <t>Držák ledu</t>
  </si>
  <si>
    <t xml:space="preserve">łamacz lodu do prętowych barier przeciw śniegowych </t>
  </si>
  <si>
    <t>hófogórúd rendszer jégkarom</t>
  </si>
  <si>
    <t>zachytávač ľadu</t>
  </si>
  <si>
    <t>sneeuwharksysteem ijsklauw</t>
  </si>
  <si>
    <t>zadrževalec ledu</t>
  </si>
  <si>
    <t>snöräckessystem isklo</t>
  </si>
  <si>
    <t>snegittersystem isklo</t>
  </si>
  <si>
    <t>snøfangersystem isklo</t>
  </si>
  <si>
    <t>hvatač leda sustava rešetkastog snjegobrana</t>
  </si>
  <si>
    <t>Abschluss f. Schneerechensystem</t>
  </si>
  <si>
    <t>end piece for pipe-style snow guard system</t>
  </si>
  <si>
    <t>Embout de système pare-neige</t>
  </si>
  <si>
    <t>Testata per tubolare fermaneve</t>
  </si>
  <si>
    <t>Ukončení zábrany profilované trubky</t>
  </si>
  <si>
    <t xml:space="preserve">element wykończeniowy do barier śniegowych </t>
  </si>
  <si>
    <t>hófogórúd rendszer záróelem</t>
  </si>
  <si>
    <t>ukončovací prvok zachytávača snehu pre profilované rúrky</t>
  </si>
  <si>
    <t>sneeuwharksysteem afsluiting</t>
  </si>
  <si>
    <t>snöräckessystem slutstycke</t>
  </si>
  <si>
    <t>snegittersystem afslutning</t>
  </si>
  <si>
    <t>snøfangersystem endestykke</t>
  </si>
  <si>
    <t>završetak sustava rešetkastog snjegobrana</t>
  </si>
  <si>
    <t>Gebirgsschneefangstütze, inkl. Befestigungsmaterial</t>
  </si>
  <si>
    <t>mountain snow-guard bracket</t>
  </si>
  <si>
    <t>Support de pare-neige pour rondins</t>
  </si>
  <si>
    <t>Staffa fermaneve per legno tondo</t>
  </si>
  <si>
    <t>Držák kulatiny pro zadržování sněhu</t>
  </si>
  <si>
    <t>hak przeciwśniegowy do warunków górskich</t>
  </si>
  <si>
    <t>hófogórönk tartó</t>
  </si>
  <si>
    <t>držiak horského zachytávača snehu pre rúrky kruhového prierezu</t>
  </si>
  <si>
    <t>sneeuwvangsteun voor in het gebergte</t>
  </si>
  <si>
    <t>nosilec za linijski snegolov</t>
  </si>
  <si>
    <t>snöstoppsstötta</t>
  </si>
  <si>
    <t>bjergsnefangstøtte</t>
  </si>
  <si>
    <t>fjellsnøfangerstøtte</t>
  </si>
  <si>
    <t>nosač planinskog snjegobrana</t>
  </si>
  <si>
    <t>Kaminhut, inkl. Kaminstreben, 700x700mm</t>
  </si>
  <si>
    <t>chimney cap ( 700 × 700 mm)</t>
  </si>
  <si>
    <t>Chapeau de cheminée (700 × 700 mm)</t>
  </si>
  <si>
    <t>Cappello camino 700 x 700 mm</t>
  </si>
  <si>
    <t>Kryt komínu - Napoleon 700 x 700 mm</t>
  </si>
  <si>
    <t>daszek kominowy ( 700 × 700 mm)</t>
  </si>
  <si>
    <t>kéményfedél 700 x 700 mm</t>
  </si>
  <si>
    <t>komínová strieška 700 x 700 mm</t>
  </si>
  <si>
    <t>schoorsteenkap 700 x 700 mm</t>
  </si>
  <si>
    <t>iskrolov za dimnik 700x700mm</t>
  </si>
  <si>
    <t>skorstenshuv 700 x 700 mm</t>
  </si>
  <si>
    <t>skorstenshat 700 x 700 mm</t>
  </si>
  <si>
    <t>pipehatt 700 x 700 mm</t>
  </si>
  <si>
    <t>dimnjačka kapa 700 x 700 mm</t>
  </si>
  <si>
    <t>Kaminhut, inkl. Kaminstreben, 800x800mm</t>
  </si>
  <si>
    <t>chimney cap ( 800 × 800 mm)</t>
  </si>
  <si>
    <t>Chapeau de cheminée (800 × 800 mm)</t>
  </si>
  <si>
    <t>Cappello camino 800 x 800 mm</t>
  </si>
  <si>
    <t xml:space="preserve"> Kryt komínu - Napoleon 800 x 800 mm</t>
  </si>
  <si>
    <t>daszek kominowy ( 800 × 800 mm)</t>
  </si>
  <si>
    <t>kéményfedél 800 x 800 mm</t>
  </si>
  <si>
    <t>komínová strieška 800 x 800 mm</t>
  </si>
  <si>
    <t>schoorsteenkap 800 x 800 mm</t>
  </si>
  <si>
    <t>iskrolov za dimnik 800x800mm</t>
  </si>
  <si>
    <t>skorstenshuv 800 x 800 mm</t>
  </si>
  <si>
    <t>skorstenshat 800 x 800 mm</t>
  </si>
  <si>
    <t>pipehatt 800 x 800 mm</t>
  </si>
  <si>
    <t>dimnjačka kapa 800 x 800 mm</t>
  </si>
  <si>
    <t>Kaminhut, inkl. Kaminstreben, 1000x700mm</t>
  </si>
  <si>
    <t>chimney cap ( 1,000 × 700 mm)</t>
  </si>
  <si>
    <t>Chapeau de cheminée (1 000 × 700 mm)</t>
  </si>
  <si>
    <t>Cappello camino 1.000 x 700 mm</t>
  </si>
  <si>
    <t xml:space="preserve"> Kryt komínu - Napoleon.000 x 700 mm</t>
  </si>
  <si>
    <t>daszek kominowy ( 1,000 × 700 mm)</t>
  </si>
  <si>
    <t>kéményfedél 1000 x 700 mm</t>
  </si>
  <si>
    <t>komínová strieška 1.000 x 700 mm</t>
  </si>
  <si>
    <t>schoorsteenkap 1000 x 700 mm</t>
  </si>
  <si>
    <t>iskrolov za dimnik 1000x700mm</t>
  </si>
  <si>
    <t>skorstenshuv 1.000 x 700 mm</t>
  </si>
  <si>
    <t>skorstenshat 1.000 x 700 mm</t>
  </si>
  <si>
    <t>pipehatt 1000 x 700 mm</t>
  </si>
  <si>
    <t>dimnjačka kapa 1.000 x 700 mm</t>
  </si>
  <si>
    <t>Kaminhut, inkl. Kaminstreben, 1100x800mm</t>
  </si>
  <si>
    <t>chimney cap ( 1,100 × 800 mm)</t>
  </si>
  <si>
    <t>Chapeau de cheminée (1 100 × 800 mm)</t>
  </si>
  <si>
    <t>Cappello camino 1.100 x 800 mm</t>
  </si>
  <si>
    <t xml:space="preserve"> Kryt komínu - Napoleon 1.100 x 800 mm</t>
  </si>
  <si>
    <t>daszek kominowy ( 1,100 × 800 mm)</t>
  </si>
  <si>
    <t>kéményfedél 1.100 x 800 mm</t>
  </si>
  <si>
    <t>komínová strieška 1.100 x 800 mm</t>
  </si>
  <si>
    <t>schoorsteenkap 1100 x 800 mm</t>
  </si>
  <si>
    <t>iskrolov za dimnik 1100x800mm</t>
  </si>
  <si>
    <t>skorstenshuv 1 100 x 800 mm</t>
  </si>
  <si>
    <t>skorstenshat 1.100 x 800 mm</t>
  </si>
  <si>
    <t>pipehatt 1100 x 800 mm</t>
  </si>
  <si>
    <t>dimnjačka kapa 1.100 x 800 mm</t>
  </si>
  <si>
    <t>Kaminhut, inkl. Kaminstreben, 1500x800mm</t>
  </si>
  <si>
    <t>chimney cap ( 1,500 × 800 mm)</t>
  </si>
  <si>
    <t>Chapeau de cheminée (1 500 × 800 mm)</t>
  </si>
  <si>
    <t>Cappello camino 1.500 x 800 mm</t>
  </si>
  <si>
    <t xml:space="preserve"> Kryt komínu - Napoleon 1.500 x 800 mm</t>
  </si>
  <si>
    <t>daszek kominowy ( 1,500 × 800 mm)</t>
  </si>
  <si>
    <t>kéményfedél 1.500 x 800 mm</t>
  </si>
  <si>
    <t>komínová strieška 1.500 x 800 mm</t>
  </si>
  <si>
    <t>schoorsteenkap 1500 x 800 mm</t>
  </si>
  <si>
    <t>iskrolov za dimnik 1500x800mm</t>
  </si>
  <si>
    <t>skorstenshuv 1.500 x 800 mm</t>
  </si>
  <si>
    <t>skorstenshat 1.500 x 800 mm</t>
  </si>
  <si>
    <t>pipehatt 1500 x 800 mm</t>
  </si>
  <si>
    <t>dimnjačka kapa 1.500 x 800 mm</t>
  </si>
  <si>
    <t>Kaminstreben, gebogen</t>
  </si>
  <si>
    <t>chimney cap leg, bent</t>
  </si>
  <si>
    <t>Pied de chapeau de cheminée (incurvé)</t>
  </si>
  <si>
    <t>Staffa cappello camino</t>
  </si>
  <si>
    <t>Vzpěra krytu komínu - ohýbaná</t>
  </si>
  <si>
    <t xml:space="preserve">Profil mocujący daszka kominowego </t>
  </si>
  <si>
    <t>kéményfedél tartó</t>
  </si>
  <si>
    <t>Výstuha komínovej striešky</t>
  </si>
  <si>
    <r>
      <rPr>
        <sz val="11"/>
        <color theme="1"/>
        <rFont val="Arial"/>
        <family val="2"/>
      </rPr>
      <t>Schoorsteenstrook gebogen</t>
    </r>
  </si>
  <si>
    <t>opora za dimniški iskrolov</t>
  </si>
  <si>
    <r>
      <rPr>
        <sz val="11"/>
        <color theme="1"/>
        <rFont val="Arial"/>
        <family val="2"/>
      </rPr>
      <t>Skorstensstötta, böjd</t>
    </r>
  </si>
  <si>
    <r>
      <rPr>
        <sz val="11"/>
        <color theme="1"/>
        <rFont val="Arial"/>
        <family val="2"/>
      </rPr>
      <t>Bukket skorstensstøtte</t>
    </r>
  </si>
  <si>
    <r>
      <rPr>
        <sz val="11"/>
        <color theme="1"/>
        <rFont val="Arial"/>
        <family val="2"/>
      </rPr>
      <t>Bøyd pipestag</t>
    </r>
  </si>
  <si>
    <t>Nosač dimnjačke kape savijeni</t>
  </si>
  <si>
    <t>Kaminstreben, 7x35x3000mm</t>
  </si>
  <si>
    <t>flat profile (35 × 7 × 3,000 mm)</t>
  </si>
  <si>
    <t>Profil plat (35 × 7 × 3 000 mm)</t>
  </si>
  <si>
    <t>Profilo piatto (35 x 7 x 3.000 mm)</t>
  </si>
  <si>
    <t>Ploché profily (35 x 7 x 3.000 mm)</t>
  </si>
  <si>
    <t>profil płaski (35 × 7 × 3,000 mm)</t>
  </si>
  <si>
    <t>laposprofil (35 x 7 x 3.000 mm)</t>
  </si>
  <si>
    <t>plochý profil (35 x 7 x 3.000 mm)</t>
  </si>
  <si>
    <t>vlak profiel (35 x 7 x 3000 mm)</t>
  </si>
  <si>
    <t>ploščati profil (35 x 7 x 3.000 mm)</t>
  </si>
  <si>
    <t>platt profil (35 x 7 x 3.000 mm)</t>
  </si>
  <si>
    <t>fladprofil (35 x 7 x 3.000 mm)</t>
  </si>
  <si>
    <t>flatprofil (35 x 7 x 3000 mm)</t>
  </si>
  <si>
    <t>plosnati profil (35 x 7 x 3.000 mm)</t>
  </si>
  <si>
    <t xml:space="preserve">Hauerbuckel </t>
  </si>
  <si>
    <t>domed cap, for covering fasteners</t>
  </si>
  <si>
    <t>Capuchon de protection, protection anticorrosion pour les éléments de fixation (vis, etc.)</t>
  </si>
  <si>
    <t>Borchia coprivite, per mascherare le teste delle viti di fissaggio</t>
  </si>
  <si>
    <t>Krytka kotvících prvků</t>
  </si>
  <si>
    <t>Maskownica wkręt</t>
  </si>
  <si>
    <t>lyuktakaró sapka</t>
  </si>
  <si>
    <t>krytka kotviacich prvkov</t>
  </si>
  <si>
    <t>slagdop, voor het afdekken van bevestigingsmiddelen</t>
  </si>
  <si>
    <t>pokrivna kapa, za prekrivanje pritrdilnih sredstev</t>
  </si>
  <si>
    <t>täckkåpa, för täckning av fästmedel</t>
  </si>
  <si>
    <t>dækplade, til afdækning af fastgørelsesmidler</t>
  </si>
  <si>
    <t>skålformet deksel, til å dekke festemidler</t>
  </si>
  <si>
    <t>kapica, za pokrivanje pričvrsnih sredstava</t>
  </si>
  <si>
    <t>Spezialsilikon</t>
  </si>
  <si>
    <t>silicone cartridge</t>
  </si>
  <si>
    <t>Cartouche de silicone</t>
  </si>
  <si>
    <t>Cartuccia silicone</t>
  </si>
  <si>
    <t>Silikon kartuše</t>
  </si>
  <si>
    <t>kartusz silikonu</t>
  </si>
  <si>
    <t>szilikon tubus</t>
  </si>
  <si>
    <t>silikón, kartuša</t>
  </si>
  <si>
    <t>siliconen cartouche</t>
  </si>
  <si>
    <t>silikonska kartuša</t>
  </si>
  <si>
    <t>silikonpatron</t>
  </si>
  <si>
    <t>silikonepatron</t>
  </si>
  <si>
    <t>silikontube</t>
  </si>
  <si>
    <t>kartuša silikona</t>
  </si>
  <si>
    <t>Spezialkleber-Set</t>
  </si>
  <si>
    <t>special adhesive kit</t>
  </si>
  <si>
    <t>Kit d’assemblage</t>
  </si>
  <si>
    <t>Set di colla speciale</t>
  </si>
  <si>
    <t>Speziální lepící sada</t>
  </si>
  <si>
    <t>specjalny zestaw klejący</t>
  </si>
  <si>
    <t>speciális ragasztó készlet</t>
  </si>
  <si>
    <t>špeciálna lepiaca súprava</t>
  </si>
  <si>
    <t>speciale lijmset</t>
  </si>
  <si>
    <t>specialni lepilni set</t>
  </si>
  <si>
    <t>speciallimsats</t>
  </si>
  <si>
    <t>specialklæbersæt</t>
  </si>
  <si>
    <t>spesiallimsett</t>
  </si>
  <si>
    <t>set specijalnog lijepila</t>
  </si>
  <si>
    <t>Rilleneisen, für Dachplatten</t>
  </si>
  <si>
    <t>rib tool</t>
  </si>
  <si>
    <t>Outil de façonnage des sillons</t>
  </si>
  <si>
    <t>Scanalatrice</t>
  </si>
  <si>
    <t>narzędzie formujące</t>
  </si>
  <si>
    <t>falc hajlító vas</t>
  </si>
  <si>
    <t>ryhovací nástroj</t>
  </si>
  <si>
    <t>groefijzer</t>
  </si>
  <si>
    <t>nakovalo za strešne plošče</t>
  </si>
  <si>
    <t>spårjärn</t>
  </si>
  <si>
    <t>rillejern</t>
  </si>
  <si>
    <t>željezo za utore</t>
  </si>
  <si>
    <t>Abspanneisen, für Dachplatte</t>
  </si>
  <si>
    <t>bending tool</t>
  </si>
  <si>
    <t>Outil de serrage des sillons</t>
  </si>
  <si>
    <t>Ferro di spianatura</t>
  </si>
  <si>
    <t>narzędzie kantujące</t>
  </si>
  <si>
    <t>fesztővas</t>
  </si>
  <si>
    <t>napínací nástroj</t>
  </si>
  <si>
    <t>spanijzer</t>
  </si>
  <si>
    <t>orodje za prilagoditev vala</t>
  </si>
  <si>
    <t>spännjärn</t>
  </si>
  <si>
    <t>afspændingsjern</t>
  </si>
  <si>
    <t>avspenningsjern</t>
  </si>
  <si>
    <t>željezo za ravnanje</t>
  </si>
  <si>
    <t xml:space="preserve">Lochblech, 0,70x1000mm
in Rollen zu 24kg </t>
  </si>
  <si>
    <t>perforated plate (Ø 5 mm)
approx. 24 kg/roll (0.7 × 1,000 mm)</t>
  </si>
  <si>
    <t>Bande d’aluminium perforée (Ø 5 mm)
env. 24 kg/bobine (0,7 × 1 000 mm)</t>
  </si>
  <si>
    <t>Nastro forato, fotro ø 5 mm, rotolo da ca. 24Kg (0,7x1000mm)</t>
  </si>
  <si>
    <t>Děrovaný plech, velikost děr 5 mm
cca. 24kg/svitek (0,7x1.000 mm)</t>
  </si>
  <si>
    <t>blacha perforowana (Ø 5 mm) około 24 kg/rolka (0.7 × 1,000 mm)</t>
  </si>
  <si>
    <t>perforált lemez lyukátmérő 5mm, kb 24kg/tekercs (0,7 x 1.000mm)</t>
  </si>
  <si>
    <t>dierovaný plech, veľkosť dier 5 mm
cca 24kg/zvitok (0,7 x 1.000 mm)</t>
  </si>
  <si>
    <t>geperforeerde plaat DM 5 mm
ca. 24 kg/rol (0,7 x 1000 mm)</t>
  </si>
  <si>
    <t>perforirana pločevina DM 5 mm ca. 24 kg/kolut (0,7 x 1.000mm)</t>
  </si>
  <si>
    <t>hålplåt DM 5 mm
cirka 24kg/rulle (0,7 x 1.000 mm)</t>
  </si>
  <si>
    <t>hulplade DM 5 mm
ca. 24 kg/rulle (0,7x1.000 mm)</t>
  </si>
  <si>
    <t>perforert plate DM 5 mm
ca. 24 kg/rull (0,7x1000 mm)</t>
  </si>
  <si>
    <t>perforirani lim DM 5 mm
ca. 24kg/kolut (0,7x1.000 mm)</t>
  </si>
  <si>
    <t>Ergänzungsband 1,0x1.000 mm (nur für Saumstreifen)</t>
  </si>
  <si>
    <t>flashing strip 1.0 × 1,000 mm (for edge cleat strips only)</t>
  </si>
  <si>
    <t>Bande complémentaire 1,0 × 1 000 mm (uniquement pour les bandes de départ)</t>
  </si>
  <si>
    <t>Nastro di complemento 1,0x1.000 mm (solo per scossaline)</t>
  </si>
  <si>
    <t>Doplňkový plech 1,0x1.000 mm (pouze na okapnice)</t>
  </si>
  <si>
    <t>Prefalz listwa 1.0 × 1,000 mm (do wykończeni krawędziowych)</t>
  </si>
  <si>
    <t>Kiegészítő szalag 1,0x1.000 mm (csak rögzítőszegélyhez)</t>
  </si>
  <si>
    <t>Doplnkový pás 1,0 x 1.000 mm (len pre odkvapový pás)</t>
  </si>
  <si>
    <r>
      <rPr>
        <sz val="11"/>
        <color theme="1"/>
        <rFont val="Calibri"/>
        <family val="2"/>
      </rPr>
      <t>Aanvullingsband 1,0 x 1000 mm (alleen voor randstroken)</t>
    </r>
  </si>
  <si>
    <t>dopolnilni trak 1,0 x 1.000 mm (le za začetne trakove)</t>
  </si>
  <si>
    <r>
      <rPr>
        <sz val="11"/>
        <color theme="1"/>
        <rFont val="Calibri"/>
        <family val="2"/>
      </rPr>
      <t>Extrabeslag 1,0 x 1.000 mm (endast för kantremsor)</t>
    </r>
  </si>
  <si>
    <r>
      <rPr>
        <sz val="11"/>
        <color theme="1"/>
        <rFont val="Calibri"/>
        <family val="2"/>
      </rPr>
      <t>Suppleringsbånd 1,0x1.000 mm (kun til kantstrimmel)</t>
    </r>
  </si>
  <si>
    <r>
      <rPr>
        <sz val="11"/>
        <color theme="1"/>
        <rFont val="Calibri"/>
        <family val="2"/>
      </rPr>
      <t>Suppleringsbånd 1,0x1000 mm (kun for skjøteplate)</t>
    </r>
  </si>
  <si>
    <t>Dopunska traka 1,0x1.000 mm (samo za početnu traku)</t>
  </si>
  <si>
    <t>hellgrau/hellgrau</t>
  </si>
  <si>
    <t>light grey/light grey</t>
  </si>
  <si>
    <t>gris souris/gris souris</t>
  </si>
  <si>
    <t>grigio chiaro/grigio chiaro</t>
  </si>
  <si>
    <t>světle šedá/světle šedá</t>
  </si>
  <si>
    <t>jasnoszary / jasnoszary</t>
  </si>
  <si>
    <t>világosszürke/világosszürke</t>
  </si>
  <si>
    <t>svetlošedá/svetlošedá</t>
  </si>
  <si>
    <r>
      <rPr>
        <sz val="11"/>
        <rFont val="Slimbach LT"/>
      </rPr>
      <t>lichtgrijs/lichtgrijs</t>
    </r>
  </si>
  <si>
    <t>svetlo siva/svetlo siva)</t>
  </si>
  <si>
    <r>
      <rPr>
        <sz val="11"/>
        <rFont val="Slimbach LT"/>
      </rPr>
      <t>ljusgrå/ljusgrå</t>
    </r>
  </si>
  <si>
    <r>
      <rPr>
        <sz val="11"/>
        <rFont val="Slimbach LT"/>
      </rPr>
      <t>lys grå/lys grå</t>
    </r>
  </si>
  <si>
    <t>svijetlo siva/svijetlo siva</t>
  </si>
  <si>
    <t>Anwendungstechnik</t>
  </si>
  <si>
    <t>Application technology</t>
  </si>
  <si>
    <t>Service technique</t>
  </si>
  <si>
    <t>Ufficio Tecnico</t>
  </si>
  <si>
    <t>Technické oddělení</t>
  </si>
  <si>
    <t>Technologia aplikacji</t>
  </si>
  <si>
    <t>Alkalmazástechnika</t>
  </si>
  <si>
    <t>Technické oddelenie</t>
  </si>
  <si>
    <r>
      <rPr>
        <sz val="11"/>
        <color theme="1"/>
        <rFont val="Arial"/>
        <family val="2"/>
      </rPr>
      <t>Toepassingstechniek</t>
    </r>
  </si>
  <si>
    <t>Tehnika</t>
  </si>
  <si>
    <r>
      <rPr>
        <sz val="11"/>
        <color theme="1"/>
        <rFont val="Arial"/>
        <family val="2"/>
      </rPr>
      <t>Användningsteknik</t>
    </r>
  </si>
  <si>
    <r>
      <rPr>
        <sz val="11"/>
        <color theme="1"/>
        <rFont val="Arial"/>
        <family val="2"/>
      </rPr>
      <t>Anvendelsesteknik</t>
    </r>
  </si>
  <si>
    <r>
      <rPr>
        <sz val="11"/>
        <color theme="1"/>
        <rFont val="Arial"/>
        <family val="2"/>
      </rPr>
      <t>Monteringsteknikk</t>
    </r>
  </si>
  <si>
    <t>Primijenjena tehnika</t>
  </si>
  <si>
    <t>Stand:</t>
  </si>
  <si>
    <t>Version:</t>
  </si>
  <si>
    <t>Version :</t>
  </si>
  <si>
    <t>Aggiornato:</t>
  </si>
  <si>
    <t>Stav:</t>
  </si>
  <si>
    <t>Wersja:</t>
  </si>
  <si>
    <t>Állapot:</t>
  </si>
  <si>
    <r>
      <rPr>
        <sz val="11"/>
        <color theme="1"/>
        <rFont val="Calibri"/>
        <family val="2"/>
      </rPr>
      <t>Versie:</t>
    </r>
  </si>
  <si>
    <t>Različica:</t>
  </si>
  <si>
    <r>
      <rPr>
        <sz val="11"/>
        <color theme="1"/>
        <rFont val="Calibri"/>
        <family val="2"/>
      </rPr>
      <t>Uppdaterad:</t>
    </r>
  </si>
  <si>
    <r>
      <rPr>
        <sz val="11"/>
        <color theme="1"/>
        <rFont val="Calibri"/>
        <family val="2"/>
      </rPr>
      <t>Stand:</t>
    </r>
  </si>
  <si>
    <t>Stanje:</t>
  </si>
  <si>
    <t>PREFALZ Ergänzungsband 1,0x1.000 mm (nur für Saumstreifen)</t>
  </si>
  <si>
    <t>Prefalz flashing strip 1.0 × 1,000 mm (for edge cleat strips only)</t>
  </si>
  <si>
    <t>Bande complémentaire Prefalz 1,0 × 1 000 mm (uniquement pour les bandes de départ)</t>
  </si>
  <si>
    <t>PREFALZ Nastro di complemento 1,0x1.000 mm (solo per scossaline)</t>
  </si>
  <si>
    <t>PREFALZ Doplňkový plech 1,0x1.000 mm (pouze na okapnice)</t>
  </si>
  <si>
    <t>Prefalz listwa 1.0 × 1,000 mm (do wykończeń krawędziowych)</t>
  </si>
  <si>
    <t>PREFALZ kiegészítő szalag 1,0x1.000 mm (csak rögzítőszegélyhez)</t>
  </si>
  <si>
    <t>PREFALZ doplkový pás 1,0 x 1.000 mm (len pre odkvapový pás)</t>
  </si>
  <si>
    <r>
      <rPr>
        <sz val="11"/>
        <color theme="1"/>
        <rFont val="Calibri"/>
        <family val="2"/>
      </rPr>
      <t>PREFALZ aanvullingsband 1,0 x 1000 mm (alleen voor randstroken)</t>
    </r>
  </si>
  <si>
    <t>PREFALZ dopolnilna pločevina 1,0 x 1.000 mm (le za začetne trakove)</t>
  </si>
  <si>
    <r>
      <rPr>
        <sz val="11"/>
        <color theme="1"/>
        <rFont val="Calibri"/>
        <family val="2"/>
      </rPr>
      <t>PREFALZ extrabeslag 1,0 x 1.000 mm (endast för kantremsor)</t>
    </r>
  </si>
  <si>
    <r>
      <rPr>
        <sz val="11"/>
        <color theme="1"/>
        <rFont val="Calibri"/>
        <family val="2"/>
      </rPr>
      <t>PREFALZ suppleringsbånd 1,0x1.000 mm (kun til kantstrimmel)</t>
    </r>
  </si>
  <si>
    <r>
      <rPr>
        <sz val="11"/>
        <color theme="1"/>
        <rFont val="Calibri"/>
        <family val="2"/>
      </rPr>
      <t>PREFALZ suppleringsbånd 1,0x1000 mm (kun for skjøteplate)</t>
    </r>
  </si>
  <si>
    <t>PREFALZ dopunska traka 1,0x1.000 mm (samo za početnu traku)</t>
  </si>
  <si>
    <t>PREFALZ 0.7x1000 stucco, in Rollen zu 60kg</t>
  </si>
  <si>
    <t>Prefalz flashing strip 0.7 × 1,000 mm (for additional flashings)</t>
  </si>
  <si>
    <t>Bande complémentaire Prefalz 0,7 × 1 000 mm (pour les raccordements complémentaires)</t>
  </si>
  <si>
    <t>PREFALZ Nastro di complemento 0,7x1.000 mm (per lattonerie)</t>
  </si>
  <si>
    <t>PREFALZ Doplňkový plech 0,7x1.000 mm (na výrobu oplechování)</t>
  </si>
  <si>
    <t>Prefalz listwa 0.7 × 1,000 mm (do wykończeń)</t>
  </si>
  <si>
    <t>PREFALZ kiegészítő szalag 0,7x1.000 mm (kiegészítő bádogos szerkezetekhez)</t>
  </si>
  <si>
    <t>PREFALZ doplnkový pás 0,7 x 1.000 mm (na výrobu oplechovania)</t>
  </si>
  <si>
    <r>
      <rPr>
        <sz val="11"/>
        <color theme="1"/>
        <rFont val="Calibri"/>
        <family val="2"/>
      </rPr>
      <t>PREFALZ aanvullingsband 0,7 x 1000 mm (voor aanvullend plaatwerk)</t>
    </r>
  </si>
  <si>
    <t>PREFALZ dopolnilna pločevina 0,7 x 1.000 mm (za dopolnjevanje)</t>
  </si>
  <si>
    <r>
      <rPr>
        <sz val="11"/>
        <color theme="1"/>
        <rFont val="Calibri"/>
        <family val="2"/>
      </rPr>
      <t>PREFALZ extrabeslag 0,7 x 1.000 mm (för kompletterande plåtarbeten)</t>
    </r>
  </si>
  <si>
    <r>
      <rPr>
        <sz val="11"/>
        <color theme="1"/>
        <rFont val="Calibri"/>
        <family val="2"/>
      </rPr>
      <t>PREFALZ suppleringsbånd 0,7x1.000 mm (til ekstra inddækning)</t>
    </r>
  </si>
  <si>
    <r>
      <rPr>
        <sz val="11"/>
        <color theme="1"/>
        <rFont val="Calibri"/>
        <family val="2"/>
      </rPr>
      <t>PREFALZ suppleringsbånd 0,7x1000 mm (for tilleggsbeslag)</t>
    </r>
  </si>
  <si>
    <t>PREFALZ dopunska traka 0,7x1.000 mm (za dodatne limene obrube)</t>
  </si>
  <si>
    <t>12 metallic silver</t>
  </si>
  <si>
    <t>12 argent métallisé</t>
  </si>
  <si>
    <t>12 silver metallizzato</t>
  </si>
  <si>
    <t>12 stříbrná metalíza</t>
  </si>
  <si>
    <t>12 srebrny metalik</t>
  </si>
  <si>
    <t>12 ezüstmetál</t>
  </si>
  <si>
    <t>12 strieborná metalíza</t>
  </si>
  <si>
    <r>
      <rPr>
        <sz val="11"/>
        <color theme="1"/>
        <rFont val="Calibri"/>
        <family val="2"/>
      </rPr>
      <t>12 zilvermetallic</t>
    </r>
  </si>
  <si>
    <t>12 kovinsko srebrna</t>
  </si>
  <si>
    <r>
      <rPr>
        <sz val="11"/>
        <color theme="1"/>
        <rFont val="Calibri"/>
        <family val="2"/>
      </rPr>
      <t>12 silvermetallic</t>
    </r>
  </si>
  <si>
    <r>
      <rPr>
        <sz val="11"/>
        <color theme="1"/>
        <rFont val="Calibri"/>
        <family val="2"/>
      </rPr>
      <t>12 sølvmetallic</t>
    </r>
  </si>
  <si>
    <r>
      <rPr>
        <sz val="11"/>
        <color theme="1"/>
        <rFont val="Calibri"/>
        <family val="2"/>
      </rPr>
      <t>12 sølv metallic</t>
    </r>
  </si>
  <si>
    <t>12 srebrna metalik</t>
  </si>
  <si>
    <t>0,75 l can</t>
  </si>
  <si>
    <t>pot de 0,75 l</t>
  </si>
  <si>
    <t>Lattina 0,75l</t>
  </si>
  <si>
    <t>0,75 l plechovka</t>
  </si>
  <si>
    <t>Puszka 0,75 l</t>
  </si>
  <si>
    <t>0,75 l doboz</t>
  </si>
  <si>
    <t>0,75 l dóza</t>
  </si>
  <si>
    <r>
      <rPr>
        <sz val="11"/>
        <color theme="1"/>
        <rFont val="Calibri"/>
        <family val="2"/>
      </rPr>
      <t>0,75 l pot</t>
    </r>
  </si>
  <si>
    <t>0,75 pločevinka</t>
  </si>
  <si>
    <r>
      <rPr>
        <sz val="11"/>
        <color theme="1"/>
        <rFont val="Calibri"/>
        <family val="2"/>
      </rPr>
      <t>0,75 l-burk</t>
    </r>
  </si>
  <si>
    <r>
      <rPr>
        <sz val="11"/>
        <color theme="1"/>
        <rFont val="Calibri"/>
        <family val="2"/>
      </rPr>
      <t>0,75 l dåse</t>
    </r>
  </si>
  <si>
    <r>
      <rPr>
        <sz val="11"/>
        <color theme="1"/>
        <rFont val="Calibri"/>
        <family val="2"/>
      </rPr>
      <t>0,75 l boks</t>
    </r>
  </si>
  <si>
    <t>Limenka 0,75 l</t>
  </si>
  <si>
    <t>1.500 mm</t>
  </si>
  <si>
    <t>1,500 mm</t>
  </si>
  <si>
    <t>1 500 mm</t>
  </si>
  <si>
    <r>
      <rPr>
        <sz val="11"/>
        <color theme="1"/>
        <rFont val="Calibri"/>
        <family val="2"/>
      </rPr>
      <t>1500 mm</t>
    </r>
  </si>
  <si>
    <r>
      <rPr>
        <sz val="11"/>
        <color theme="1"/>
        <rFont val="Calibri"/>
        <family val="2"/>
      </rPr>
      <t>1.500 mm</t>
    </r>
  </si>
  <si>
    <r>
      <rPr>
        <sz val="11"/>
        <color theme="1"/>
        <rFont val="Calibri"/>
        <family val="2"/>
      </rPr>
      <t>1500 mm</t>
    </r>
  </si>
  <si>
    <t>1: Das gewünschte Produkt durch Anklicken des Reiters auswählen.</t>
  </si>
  <si>
    <t>1: Select the required product by clicking on the tab.</t>
  </si>
  <si>
    <t>1: Sélectionnez le produit en cliquant sur l’onglet correspondant.</t>
  </si>
  <si>
    <t>1: Selezionare il prodotto desiderato facendo clic sulla scheda</t>
  </si>
  <si>
    <t xml:space="preserve">1: zakliknutím vybrat ožadovaný produkt </t>
  </si>
  <si>
    <t xml:space="preserve">1: Wybierz produkt klikając na zakładkę </t>
  </si>
  <si>
    <t>1: válassza ki a kívánt terméket</t>
  </si>
  <si>
    <t>1: Kliknutím vyberte požadovaný produkt</t>
  </si>
  <si>
    <r>
      <rPr>
        <sz val="11"/>
        <color theme="1"/>
        <rFont val="Calibri"/>
        <family val="2"/>
      </rPr>
      <t>1: Selecteer het gewenste product door te klikken op het tabblad.</t>
    </r>
  </si>
  <si>
    <t>1: Izberite željeni proizvod s klikom</t>
  </si>
  <si>
    <r>
      <rPr>
        <sz val="11"/>
        <color theme="1"/>
        <rFont val="Calibri"/>
        <family val="2"/>
      </rPr>
      <t>1: Välj önskad produkt genom att klicka på fliken.</t>
    </r>
  </si>
  <si>
    <r>
      <rPr>
        <sz val="11"/>
        <color theme="1"/>
        <rFont val="Calibri"/>
        <family val="2"/>
      </rPr>
      <t>1: Vælg det ønskede produkt ved at klikke på fanen.</t>
    </r>
  </si>
  <si>
    <r>
      <rPr>
        <sz val="11"/>
        <color theme="1"/>
        <rFont val="Calibri"/>
        <family val="2"/>
      </rPr>
      <t>1: Velg ønsket produkt ved å klikke på fanen.</t>
    </r>
  </si>
  <si>
    <t>1: Odaberite željeni proizvod klikom na karticu.</t>
  </si>
  <si>
    <t>100–160 mm</t>
  </si>
  <si>
    <t>100-160 mm</t>
  </si>
  <si>
    <t>100 - 160 mm</t>
  </si>
  <si>
    <r>
      <rPr>
        <sz val="11"/>
        <color theme="1"/>
        <rFont val="Calibri"/>
        <family val="2"/>
      </rPr>
      <t>100 – 160 mm</t>
    </r>
  </si>
  <si>
    <r>
      <rPr>
        <sz val="11"/>
        <color theme="1"/>
        <rFont val="Calibri"/>
        <family val="2"/>
      </rPr>
      <t>100-160 mm</t>
    </r>
  </si>
  <si>
    <r>
      <rPr>
        <sz val="11"/>
        <color theme="1"/>
        <rFont val="Calibri"/>
        <family val="2"/>
      </rPr>
      <t>100-160 mm</t>
    </r>
  </si>
  <si>
    <t>100–180 mm</t>
  </si>
  <si>
    <t>100-180 mm</t>
  </si>
  <si>
    <t>100 - 180 mm</t>
  </si>
  <si>
    <r>
      <rPr>
        <sz val="11"/>
        <color theme="1"/>
        <rFont val="Calibri"/>
        <family val="2"/>
      </rPr>
      <t>100 – 180 mm</t>
    </r>
  </si>
  <si>
    <r>
      <rPr>
        <sz val="11"/>
        <color theme="1"/>
        <rFont val="Calibri"/>
        <family val="2"/>
      </rPr>
      <t>100-180 mm</t>
    </r>
  </si>
  <si>
    <t>100 ⌀</t>
  </si>
  <si>
    <t>100 ⌀ 700–1.100 mm</t>
  </si>
  <si>
    <t>⌀ 100; 700–1,100 mm</t>
  </si>
  <si>
    <t>100 ø 700-1 100 mm</t>
  </si>
  <si>
    <t>ø100 x 700-1.100 mm</t>
  </si>
  <si>
    <t>100 ø 700-1.100 mm</t>
  </si>
  <si>
    <r>
      <rPr>
        <sz val="11"/>
        <color theme="1"/>
        <rFont val="Calibri"/>
        <family val="2"/>
      </rPr>
      <t>100 ⌀ 700 – 1100 mm</t>
    </r>
  </si>
  <si>
    <r>
      <rPr>
        <sz val="11"/>
        <color theme="1"/>
        <rFont val="Calibri"/>
        <family val="2"/>
      </rPr>
      <t>100 ⌀ 700-1.100 mm</t>
    </r>
  </si>
  <si>
    <r>
      <rPr>
        <sz val="11"/>
        <color theme="1"/>
        <rFont val="Calibri"/>
        <family val="2"/>
      </rPr>
      <t>100 ⌀ 700–1.100 mm</t>
    </r>
  </si>
  <si>
    <r>
      <rPr>
        <sz val="11"/>
        <color theme="1"/>
        <rFont val="Calibri"/>
        <family val="2"/>
      </rPr>
      <t>100 ⌀ 700–1100 mm</t>
    </r>
  </si>
  <si>
    <t>100 ⌀ × 1.450 mm</t>
  </si>
  <si>
    <t>⌀ 100 × 1,450 mm</t>
  </si>
  <si>
    <t>100 ø × 1 450 mm</t>
  </si>
  <si>
    <t>ø100 x 1.450 mm</t>
  </si>
  <si>
    <t>100 ø x 1.450 mm</t>
  </si>
  <si>
    <r>
      <rPr>
        <sz val="11"/>
        <color theme="1"/>
        <rFont val="Calibri"/>
        <family val="2"/>
      </rPr>
      <t>100 ⌀ × 1450 mm</t>
    </r>
  </si>
  <si>
    <r>
      <rPr>
        <sz val="11"/>
        <color theme="1"/>
        <rFont val="Calibri"/>
        <family val="2"/>
      </rPr>
      <t>100 ⌀ × 1.450 mm</t>
    </r>
  </si>
  <si>
    <r>
      <rPr>
        <sz val="11"/>
        <color theme="1"/>
        <rFont val="Calibri"/>
        <family val="2"/>
      </rPr>
      <t>100 ⌀ × 1450 mm</t>
    </r>
  </si>
  <si>
    <t>100 × ⌀ 50–75 mm</t>
  </si>
  <si>
    <t>100 × ø 50-75 mm</t>
  </si>
  <si>
    <t>ø 100 x 50-75 mm</t>
  </si>
  <si>
    <t>100 x ø 50-75 mm</t>
  </si>
  <si>
    <r>
      <rPr>
        <sz val="11"/>
        <color theme="1"/>
        <rFont val="Calibri"/>
        <family val="2"/>
      </rPr>
      <t>100 × ⌀ 50 – 75 mm</t>
    </r>
  </si>
  <si>
    <r>
      <rPr>
        <sz val="11"/>
        <color theme="1"/>
        <rFont val="Calibri"/>
        <family val="2"/>
      </rPr>
      <t>100 × ⌀ 50-75 mm</t>
    </r>
  </si>
  <si>
    <r>
      <rPr>
        <sz val="11"/>
        <color theme="1"/>
        <rFont val="Calibri"/>
        <family val="2"/>
      </rPr>
      <t>100 × ⌀ 50–75 mm</t>
    </r>
  </si>
  <si>
    <r>
      <rPr>
        <sz val="11"/>
        <color theme="1"/>
        <rFont val="Calibri"/>
        <family val="2"/>
      </rPr>
      <t>100 ⌀ 50-75 mm</t>
    </r>
  </si>
  <si>
    <t>120 ⌀</t>
  </si>
  <si>
    <t>140 mm</t>
  </si>
  <si>
    <r>
      <rPr>
        <sz val="11"/>
        <color theme="1"/>
        <rFont val="Calibri"/>
        <family val="2"/>
      </rPr>
      <t>140 mm</t>
    </r>
  </si>
  <si>
    <t>150 ⌀</t>
  </si>
  <si>
    <t>180–220 mm</t>
  </si>
  <si>
    <t>180-220 mm</t>
  </si>
  <si>
    <t>180 - 220 mm</t>
  </si>
  <si>
    <r>
      <rPr>
        <sz val="11"/>
        <color theme="1"/>
        <rFont val="Calibri"/>
        <family val="2"/>
      </rPr>
      <t>180 – 220 mm</t>
    </r>
  </si>
  <si>
    <r>
      <rPr>
        <sz val="11"/>
        <color theme="1"/>
        <rFont val="Calibri"/>
        <family val="2"/>
      </rPr>
      <t>180-220 mm</t>
    </r>
  </si>
  <si>
    <t>180–260 mm</t>
  </si>
  <si>
    <t>180-260 mm</t>
  </si>
  <si>
    <t>180 - 260 mm</t>
  </si>
  <si>
    <r>
      <rPr>
        <sz val="11"/>
        <color theme="1"/>
        <rFont val="Calibri"/>
        <family val="2"/>
      </rPr>
      <t>180 – 260 mm</t>
    </r>
  </si>
  <si>
    <r>
      <rPr>
        <sz val="11"/>
        <color theme="1"/>
        <rFont val="Calibri"/>
        <family val="2"/>
      </rPr>
      <t>180-260 mm</t>
    </r>
  </si>
  <si>
    <t>195 mm lang</t>
  </si>
  <si>
    <t>195 mm long</t>
  </si>
  <si>
    <t>longueur : 195 mm</t>
  </si>
  <si>
    <t>lunghezza 195 mm</t>
  </si>
  <si>
    <t>195 mm délka</t>
  </si>
  <si>
    <t>195 mm długi</t>
  </si>
  <si>
    <t>195 mm hosszú</t>
  </si>
  <si>
    <t>195 mm dlhé</t>
  </si>
  <si>
    <r>
      <rPr>
        <sz val="11"/>
        <color theme="1"/>
        <rFont val="Calibri"/>
        <family val="2"/>
      </rPr>
      <t>lengte 195 mm</t>
    </r>
  </si>
  <si>
    <t>195 mm dolžine</t>
  </si>
  <si>
    <r>
      <rPr>
        <sz val="11"/>
        <color theme="1"/>
        <rFont val="Calibri"/>
        <family val="2"/>
      </rPr>
      <t>195 mm lång</t>
    </r>
  </si>
  <si>
    <r>
      <rPr>
        <sz val="11"/>
        <color theme="1"/>
        <rFont val="Calibri"/>
        <family val="2"/>
      </rPr>
      <t>195 mm lang</t>
    </r>
  </si>
  <si>
    <r>
      <rPr>
        <sz val="11"/>
        <color theme="1"/>
        <rFont val="Calibri"/>
        <family val="2"/>
      </rPr>
      <t>195 mm lang</t>
    </r>
  </si>
  <si>
    <t>duljina 195 mm</t>
  </si>
  <si>
    <t>2: Sämtliche Felder, die grau hinterlegt sind, können befüllt werden oder sind mit einer vordefinierten Auswahlliste hinterlegt.</t>
  </si>
  <si>
    <t>2: Fields with a grey background are input fields or contain a drop-down list.</t>
  </si>
  <si>
    <t>2: Les champs en grisé sont soit des champs de saisie, soit des listes déroulantes.</t>
  </si>
  <si>
    <t>2: Tutti i campi evidenziati in grigio possono essere riempiti oppure è possibile selezionare una voce da un elenco predefinito</t>
  </si>
  <si>
    <t>2: Všechny šedě podložená pole jsou opatřeny před definovaným výběrem nebo je možné je doplnit je možné doplnit</t>
  </si>
  <si>
    <t>2: Na polach z szarym tłem należy wpisać wartość lub wybrać z rozwijanej listy.</t>
  </si>
  <si>
    <t xml:space="preserve">2: A szürke mezőkbe írhat, vagy a legördülő listából választhat </t>
  </si>
  <si>
    <t>2: Všetky polia označené sivou farbou môžu byť vyplnené, alebo uložené do preddefinovaného výberu</t>
  </si>
  <si>
    <r>
      <rPr>
        <sz val="11"/>
        <color theme="1"/>
        <rFont val="Calibri"/>
        <family val="2"/>
      </rPr>
      <t>2: Alle grijze velden kunnen worden ingevuld of zijn van een voorgedefinieerde selectielijst voorzien.</t>
    </r>
  </si>
  <si>
    <t>2: Vsa polja, ki so označena s sivo, so lahko izbrana s predhodno izbranim seznamom izbire</t>
  </si>
  <si>
    <r>
      <rPr>
        <sz val="11"/>
        <color theme="1"/>
        <rFont val="Calibri"/>
        <family val="2"/>
      </rPr>
      <t>2: Samtliga fält som är gråmarkerade kan fyllas i eller är markerade med en fördefinierad urvalslista.</t>
    </r>
  </si>
  <si>
    <r>
      <rPr>
        <sz val="11"/>
        <color theme="1"/>
        <rFont val="Calibri"/>
        <family val="2"/>
      </rPr>
      <t>2: Alle felter med grå baggrund kan udfyldes, eller har en prædefineret valgliste.</t>
    </r>
  </si>
  <si>
    <r>
      <rPr>
        <sz val="11"/>
        <color theme="1"/>
        <rFont val="Calibri"/>
        <family val="2"/>
      </rPr>
      <t>2: Samtlige felt som er markert med grått, kan fylles ut eller er markert med en forhåndsdefinert utvalgsliste.</t>
    </r>
  </si>
  <si>
    <t>2: Sva polja, koja imaju sivu pozadinu, se mogu popuniti ili su već popunjena predefiniranim popisom za odabir.</t>
  </si>
  <si>
    <t>200 mm</t>
  </si>
  <si>
    <r>
      <rPr>
        <sz val="11"/>
        <color theme="1"/>
        <rFont val="Calibri"/>
        <family val="2"/>
      </rPr>
      <t>200 mm</t>
    </r>
  </si>
  <si>
    <r>
      <rPr>
        <sz val="11"/>
        <color theme="1"/>
        <rFont val="Calibri"/>
        <family val="2"/>
      </rPr>
      <t>200 mm</t>
    </r>
  </si>
  <si>
    <t>230 × 2.000 × 0,7 mm</t>
  </si>
  <si>
    <t>230 × 2,000 × 0.7 mm</t>
  </si>
  <si>
    <t>230 × 2 000 × 0,7 mm</t>
  </si>
  <si>
    <t>230 x 2.000 x 0,7 mm</t>
  </si>
  <si>
    <r>
      <rPr>
        <sz val="11"/>
        <color theme="1"/>
        <rFont val="Calibri"/>
        <family val="2"/>
      </rPr>
      <t>230 × 2000 × 0,7 mm</t>
    </r>
  </si>
  <si>
    <r>
      <rPr>
        <sz val="11"/>
        <color theme="1"/>
        <rFont val="Calibri"/>
        <family val="2"/>
      </rPr>
      <t>230 × 2.000 × 0,7 mm</t>
    </r>
  </si>
  <si>
    <r>
      <rPr>
        <sz val="11"/>
        <color theme="1"/>
        <rFont val="Calibri"/>
        <family val="2"/>
      </rPr>
      <t>230 × 2000 × 0,7 mm</t>
    </r>
  </si>
  <si>
    <t>250 g</t>
  </si>
  <si>
    <r>
      <rPr>
        <sz val="11"/>
        <color theme="1"/>
        <rFont val="Calibri"/>
        <family val="2"/>
      </rPr>
      <t>250 g</t>
    </r>
  </si>
  <si>
    <r>
      <rPr>
        <sz val="11"/>
        <color theme="1"/>
        <rFont val="Calibri"/>
        <family val="2"/>
      </rPr>
      <t>250 g</t>
    </r>
  </si>
  <si>
    <t>250/23 × 7</t>
  </si>
  <si>
    <t>250/23 x 7</t>
  </si>
  <si>
    <r>
      <rPr>
        <sz val="11"/>
        <color theme="1"/>
        <rFont val="Calibri"/>
        <family val="2"/>
      </rPr>
      <t>250/23 × 7</t>
    </r>
  </si>
  <si>
    <t>28 × 7 mm</t>
  </si>
  <si>
    <t>28 x 7 mm</t>
  </si>
  <si>
    <r>
      <rPr>
        <sz val="11"/>
        <color theme="1"/>
        <rFont val="Calibri"/>
        <family val="2"/>
      </rPr>
      <t>28 × 7 mm</t>
    </r>
  </si>
  <si>
    <t>290 ml reichen für ca. 4 lfm.</t>
  </si>
  <si>
    <t>290 ml is sufficient for approx. 4 m.</t>
  </si>
  <si>
    <t>290 ml pour env. 4 m</t>
  </si>
  <si>
    <t>290 ml sono sufficienti per ca. 4 m lineari</t>
  </si>
  <si>
    <t>290 ml postačí na cca. 4 bm</t>
  </si>
  <si>
    <t>290 ml wystarcza na około 4 m</t>
  </si>
  <si>
    <t>296 ml, kb. 4fm-re elég</t>
  </si>
  <si>
    <t>290 ml postačuje na cca 4 bm</t>
  </si>
  <si>
    <r>
      <rPr>
        <sz val="11"/>
        <color theme="1"/>
        <rFont val="Calibri"/>
        <family val="2"/>
      </rPr>
      <t>290 ml is voldoende voor ca. 4 m</t>
    </r>
    <r>
      <rPr>
        <vertAlign val="superscript"/>
        <sz val="11"/>
        <color theme="1"/>
        <rFont val="Calibri"/>
        <family val="2"/>
      </rPr>
      <t>1</t>
    </r>
  </si>
  <si>
    <t>290 ml za približno 4 tekoče metre</t>
  </si>
  <si>
    <r>
      <rPr>
        <sz val="11"/>
        <color theme="1"/>
        <rFont val="Calibri"/>
        <family val="2"/>
      </rPr>
      <t>290 ml räcker till cirka 4 lpm.</t>
    </r>
  </si>
  <si>
    <r>
      <rPr>
        <sz val="11"/>
        <color theme="1"/>
        <rFont val="Calibri"/>
        <family val="2"/>
      </rPr>
      <t>290 ml rækker til ca. 4 lbm.</t>
    </r>
  </si>
  <si>
    <r>
      <rPr>
        <sz val="11"/>
        <color theme="1"/>
        <rFont val="Calibri"/>
        <family val="2"/>
      </rPr>
      <t>290 ml rekker til ca. 4 lm.</t>
    </r>
  </si>
  <si>
    <t>290 ml dovoljno je za cca. 4 d/m.</t>
  </si>
  <si>
    <t>3 m</t>
  </si>
  <si>
    <r>
      <rPr>
        <sz val="11"/>
        <color theme="1"/>
        <rFont val="Calibri"/>
        <family val="2"/>
      </rPr>
      <t>3 m</t>
    </r>
  </si>
  <si>
    <r>
      <rPr>
        <sz val="11"/>
        <color theme="1"/>
        <rFont val="Calibri"/>
        <family val="2"/>
      </rPr>
      <t>3 m</t>
    </r>
  </si>
  <si>
    <t>3.000 mm</t>
  </si>
  <si>
    <t>3,000 mm</t>
  </si>
  <si>
    <t>3 000 mm</t>
  </si>
  <si>
    <r>
      <rPr>
        <sz val="11"/>
        <color theme="1"/>
        <rFont val="Calibri"/>
        <family val="2"/>
      </rPr>
      <t>3000 mm</t>
    </r>
  </si>
  <si>
    <r>
      <rPr>
        <sz val="11"/>
        <color theme="1"/>
        <rFont val="Calibri"/>
        <family val="2"/>
      </rPr>
      <t>3.000 mm</t>
    </r>
  </si>
  <si>
    <r>
      <rPr>
        <sz val="11"/>
        <color theme="1"/>
        <rFont val="Calibri"/>
        <family val="2"/>
      </rPr>
      <t>3000 mm</t>
    </r>
  </si>
  <si>
    <t>3: Sämtliche Optionsfelder können angewählt werden.</t>
  </si>
  <si>
    <t>3: All options can be selected.</t>
  </si>
  <si>
    <t>3: Il est possible de cliquer la totalité des boutons radio (options).</t>
  </si>
  <si>
    <t>3: Ogni pulsante delle opzioni può essere selezionato</t>
  </si>
  <si>
    <t>3: Vybrána mohou být všechna nabídková pole</t>
  </si>
  <si>
    <t>3: Można wybrać wszystkie opcje.</t>
  </si>
  <si>
    <t>3: Az opciókat tartalmazó mezőket kitöltheti</t>
  </si>
  <si>
    <t>3: Je možné vybrať si aj všetky doplnkové polia</t>
  </si>
  <si>
    <r>
      <rPr>
        <sz val="11"/>
        <color theme="1"/>
        <rFont val="Calibri"/>
        <family val="2"/>
      </rPr>
      <t>3: Alle optievelden kunnen worden afgevinkt.</t>
    </r>
  </si>
  <si>
    <t>3: izbrana so lahko vsa poljubna polja</t>
  </si>
  <si>
    <r>
      <rPr>
        <sz val="11"/>
        <color theme="1"/>
        <rFont val="Calibri"/>
        <family val="2"/>
      </rPr>
      <t>3: Samtliga alternativfält kan väljas.</t>
    </r>
  </si>
  <si>
    <r>
      <rPr>
        <sz val="11"/>
        <color theme="1"/>
        <rFont val="Calibri"/>
        <family val="2"/>
      </rPr>
      <t>3: Alle valgfelter kan vælges.</t>
    </r>
  </si>
  <si>
    <r>
      <rPr>
        <sz val="11"/>
        <color theme="1"/>
        <rFont val="Calibri"/>
        <family val="2"/>
      </rPr>
      <t>3: Samtlige valgfelt kan velges.</t>
    </r>
  </si>
  <si>
    <t>3: Mogu se odabrati sva opcionalna polja.</t>
  </si>
  <si>
    <t>300 ml</t>
  </si>
  <si>
    <r>
      <rPr>
        <sz val="11"/>
        <color theme="1"/>
        <rFont val="Calibri"/>
        <family val="2"/>
      </rPr>
      <t>300 ml</t>
    </r>
  </si>
  <si>
    <r>
      <rPr>
        <sz val="11"/>
        <color theme="1"/>
        <rFont val="Calibri"/>
        <family val="2"/>
      </rPr>
      <t>300 ml</t>
    </r>
  </si>
  <si>
    <t>330 mm</t>
  </si>
  <si>
    <r>
      <rPr>
        <sz val="11"/>
        <color theme="1"/>
        <rFont val="Calibri"/>
        <family val="2"/>
      </rPr>
      <t>330 mm</t>
    </r>
  </si>
  <si>
    <t>333 mm / 100 × 100 mm</t>
  </si>
  <si>
    <t>333 mm / 100 x 100 mm</t>
  </si>
  <si>
    <r>
      <rPr>
        <sz val="11"/>
        <color theme="1"/>
        <rFont val="Calibri"/>
        <family val="2"/>
      </rPr>
      <t>333 mm/100 × 100 mm</t>
    </r>
  </si>
  <si>
    <r>
      <rPr>
        <sz val="11"/>
        <color theme="1"/>
        <rFont val="Calibri"/>
        <family val="2"/>
      </rPr>
      <t>333 mm / 100 × 100 mm</t>
    </r>
  </si>
  <si>
    <r>
      <rPr>
        <sz val="11"/>
        <color theme="1"/>
        <rFont val="Calibri"/>
        <family val="2"/>
      </rPr>
      <t>333 mm / 100 × 100 mm</t>
    </r>
  </si>
  <si>
    <t>333/28 × 7</t>
  </si>
  <si>
    <t>333/28 x 7</t>
  </si>
  <si>
    <r>
      <rPr>
        <sz val="11"/>
        <color theme="1"/>
        <rFont val="Calibri"/>
        <family val="2"/>
      </rPr>
      <t>333/28 × 7</t>
    </r>
  </si>
  <si>
    <t>4 × 9.5 mm</t>
  </si>
  <si>
    <t>4 x 9,5 mm</t>
  </si>
  <si>
    <t>4 x 10 mm</t>
  </si>
  <si>
    <r>
      <rPr>
        <sz val="11"/>
        <color theme="1"/>
        <rFont val="Calibri"/>
        <family val="2"/>
      </rPr>
      <t>4 × 9,5 mm</t>
    </r>
  </si>
  <si>
    <r>
      <rPr>
        <sz val="11"/>
        <color theme="1"/>
        <rFont val="Calibri"/>
        <family val="2"/>
      </rPr>
      <t>4 × 9,5 mm</t>
    </r>
  </si>
  <si>
    <t>4 × 25 × 427 mm</t>
  </si>
  <si>
    <t>4 x 25 x 427 mm</t>
  </si>
  <si>
    <t>4,8 × 17 mm</t>
  </si>
  <si>
    <t>4.8 × 17 mm</t>
  </si>
  <si>
    <t>4,8 x 17 mm</t>
  </si>
  <si>
    <r>
      <rPr>
        <sz val="11"/>
        <color theme="1"/>
        <rFont val="Calibri"/>
        <family val="2"/>
      </rPr>
      <t>4,8 × 17 mm</t>
    </r>
  </si>
  <si>
    <t>4: Wurde als Farbe pulverbeschichtet gewählt, erscheint ein zusätzliches Eingabefeld für die Beschichtungsfarbe..</t>
  </si>
  <si>
    <t>4: If you selected powder coating as the colour, an additional input field will be displayed for you to select the coating colour.</t>
  </si>
  <si>
    <t>4: Si, pour la couleur, vous sélectionnez l’option « revêtement thermolaqué », un champ supplémentaire s’affiche qui vous permet de sélectionner la couleur du revêtement.</t>
  </si>
  <si>
    <t>4: Se viene selezionata la verniciatura a polvere, viene visualizzato un ulteriore campo nel quale inserire il colore richiesto</t>
  </si>
  <si>
    <t xml:space="preserve">4: Bylo-li vybráno práškové lakování, zobrazí se dodatečně políčko pro výběr požadované barvy </t>
  </si>
  <si>
    <t>4: Jeśli jako kolor wybrano powłokę proszkową, zostanie wyświetlone dodatkowe pole wprowadzania, aby wybrać kolor powłoki.</t>
  </si>
  <si>
    <t>4: Ha színnek a porszórt színt adta meg, külön mezőben adhatja meg a választott színt</t>
  </si>
  <si>
    <t>4: Ak bola zvolená prášková farba, zobrazí sa ďalšie pole pre voľbu farby</t>
  </si>
  <si>
    <r>
      <rPr>
        <sz val="11"/>
        <color theme="1"/>
        <rFont val="Calibri"/>
        <family val="2"/>
      </rPr>
      <t>4: Indien als kleur geëpoxeerd werd gekozen, verschijnt een extra invoerveld voor de coatingkleur.</t>
    </r>
  </si>
  <si>
    <t>4: Če ste izbrali prašno barvanje, se prikaže dodatno polje za vnos barve</t>
  </si>
  <si>
    <r>
      <rPr>
        <sz val="11"/>
        <color theme="1"/>
        <rFont val="Calibri"/>
        <family val="2"/>
      </rPr>
      <t>4: Om pulverlackerat har valts som färg visas ytterligare ett inmatningsfält för lackeringsfärgen.</t>
    </r>
  </si>
  <si>
    <r>
      <rPr>
        <sz val="11"/>
        <color theme="1"/>
        <rFont val="Calibri"/>
        <family val="2"/>
      </rPr>
      <t>4: Hvis pulverbelagt er valgt som farve, vises et ekstra indtastningsfelt for belægningsfarven.</t>
    </r>
  </si>
  <si>
    <r>
      <rPr>
        <sz val="11"/>
        <color theme="1"/>
        <rFont val="Calibri"/>
        <family val="2"/>
      </rPr>
      <t>4: Hvis fargen ble valgt som pulverlakkert, vises et ekstra felt for sjiktfargen.</t>
    </r>
  </si>
  <si>
    <t>4: Ako je kao boja odabrano plastificirano nanosom praha, dodatno se pojavljuje polje za unos boje praškastog premaza.</t>
  </si>
  <si>
    <t>400 mm / 100 × 100 mm</t>
  </si>
  <si>
    <t>400 mm / 100 x 100 mm</t>
  </si>
  <si>
    <r>
      <rPr>
        <sz val="11"/>
        <color theme="1"/>
        <rFont val="Calibri"/>
        <family val="2"/>
      </rPr>
      <t>400 mm/100 × 100 mm</t>
    </r>
  </si>
  <si>
    <r>
      <rPr>
        <sz val="11"/>
        <color theme="1"/>
        <rFont val="Calibri"/>
        <family val="2"/>
      </rPr>
      <t>400 mm / 100 × 100 mm</t>
    </r>
  </si>
  <si>
    <r>
      <rPr>
        <sz val="11"/>
        <color theme="1"/>
        <rFont val="Calibri"/>
        <family val="2"/>
      </rPr>
      <t>400 mm / 100 × 100 mm</t>
    </r>
  </si>
  <si>
    <t>400/30 × 7</t>
  </si>
  <si>
    <t>400/30 x 7</t>
  </si>
  <si>
    <r>
      <rPr>
        <sz val="11"/>
        <color theme="1"/>
        <rFont val="Calibri"/>
        <family val="2"/>
      </rPr>
      <t>400/30 × 7</t>
    </r>
  </si>
  <si>
    <t>5,0 × 80 mm</t>
  </si>
  <si>
    <t>5.0 × 80 mm</t>
  </si>
  <si>
    <t>5,0 x 80 mm</t>
  </si>
  <si>
    <r>
      <rPr>
        <sz val="11"/>
        <color theme="1"/>
        <rFont val="Calibri"/>
        <family val="2"/>
      </rPr>
      <t>5,0 × 80 mm</t>
    </r>
  </si>
  <si>
    <t>4: Die Mengen können je nach Wunsch in Stück (Stk) oder aufgerundet auf die nächste Verpackungseinheit (VPE) berechnet werden.</t>
  </si>
  <si>
    <t>4: Quantities can be calculated per piece (pc.) or rounded up to the next packaging unit (PU).</t>
  </si>
  <si>
    <t>4: Les quantités peuvent être calculées à la pièce (pc.) ou bien arrondies à l’unité d’emballage (UE) supérieure.</t>
  </si>
  <si>
    <t>4: Le quantità possono essere calcolate in pezzi (PZ) oppure arrotondati all'intera unità di confezionamento (CF)</t>
  </si>
  <si>
    <t xml:space="preserve">4: Množství může být počítáno dle přání na jednotlivé kusy (ks) nebo zaokrouhleno na celá balení </t>
  </si>
  <si>
    <t>4: Ilość można skalkulować na sztuki (szt.) lub zaokrąglić do pełnych opakowań ( opakowanie ).</t>
  </si>
  <si>
    <t>4: A mennyiségeket igény szerint darabszámmal, vagy csomagolási egységre kerekítve is megadhatja</t>
  </si>
  <si>
    <t>4: Množstvá sa môžu spočítavať v kusoch (ks), alebo zaokrúhľovať nahor na celé balenie (VPE) podľa potreby.</t>
  </si>
  <si>
    <r>
      <rPr>
        <sz val="11"/>
        <color theme="1"/>
        <rFont val="Calibri"/>
        <family val="2"/>
      </rPr>
      <t>4: De aantallen kunnen naar wens in stuks (stks.) of afgerond op de volgende verpakkingseenheid (VPE) worden berekend.</t>
    </r>
  </si>
  <si>
    <t>4: Količine lahko izračunate po kosih (kos), ali jih zaokrožite na enoto pakiranje (PAK)</t>
  </si>
  <si>
    <r>
      <rPr>
        <sz val="11"/>
        <color theme="1"/>
        <rFont val="Calibri"/>
        <family val="2"/>
      </rPr>
      <t>4: Mängderna kan efter önskemål beräknas styckevis (st.) eller rundas av till nästa förpackningsenhet (FPE).</t>
    </r>
  </si>
  <si>
    <r>
      <rPr>
        <sz val="11"/>
        <color theme="1"/>
        <rFont val="Calibri"/>
        <family val="2"/>
      </rPr>
      <t>4: Mængderne kan om ønsket beregnet i styk (stk.) eller afrundes til næste pakkeenhed.</t>
    </r>
  </si>
  <si>
    <r>
      <rPr>
        <sz val="11"/>
        <color theme="1"/>
        <rFont val="Calibri"/>
        <family val="2"/>
      </rPr>
      <t>4: Mengdene kan etter ønske beregnes i stykker (stk.) eller rundes opp til neste forpakningsenhet (FPE).</t>
    </r>
  </si>
  <si>
    <t>4: Količine se po želji mogu izračunati u broju komada (kom.) ili se mogu zaokružiti na najbližu pakirnu ambalažu (PA).</t>
  </si>
  <si>
    <t>50 ml Dose mit Pinsel</t>
  </si>
  <si>
    <t>50 ml can with brush</t>
  </si>
  <si>
    <t>pot de 50 ml avec pinceau</t>
  </si>
  <si>
    <t>50 ml Lattina con pennello</t>
  </si>
  <si>
    <t>50 ml lahvička se štětečkem</t>
  </si>
  <si>
    <t>50 ml puszka z pędzlem.</t>
  </si>
  <si>
    <t>50 ml tubus ecsettel</t>
  </si>
  <si>
    <t>50 ml nádoba so štetcom</t>
  </si>
  <si>
    <r>
      <rPr>
        <sz val="11"/>
        <color theme="1"/>
        <rFont val="Calibri"/>
        <family val="2"/>
      </rPr>
      <t>50 ml pot met kwast</t>
    </r>
  </si>
  <si>
    <t>50 ml  doza s čopičem</t>
  </si>
  <si>
    <r>
      <rPr>
        <sz val="11"/>
        <color theme="1"/>
        <rFont val="Calibri"/>
        <family val="2"/>
      </rPr>
      <t>50 ml-burk med pensel</t>
    </r>
  </si>
  <si>
    <r>
      <rPr>
        <sz val="11"/>
        <color theme="1"/>
        <rFont val="Calibri"/>
        <family val="2"/>
      </rPr>
      <t>50 ml dåse med pensel</t>
    </r>
  </si>
  <si>
    <r>
      <rPr>
        <sz val="11"/>
        <color theme="1"/>
        <rFont val="Calibri"/>
        <family val="2"/>
      </rPr>
      <t>50 ml boks med pensel</t>
    </r>
  </si>
  <si>
    <t>Limenka 50 ml s kistom</t>
  </si>
  <si>
    <t>500/35 × 7</t>
  </si>
  <si>
    <t>500/35 x 7</t>
  </si>
  <si>
    <r>
      <rPr>
        <sz val="11"/>
        <color theme="1"/>
        <rFont val="Calibri"/>
        <family val="2"/>
      </rPr>
      <t>500/35 × 7</t>
    </r>
  </si>
  <si>
    <t>6 m</t>
  </si>
  <si>
    <r>
      <rPr>
        <sz val="11"/>
        <color theme="1"/>
        <rFont val="Calibri"/>
        <family val="2"/>
      </rPr>
      <t>6 m</t>
    </r>
  </si>
  <si>
    <t>6.000 × 375 mm</t>
  </si>
  <si>
    <t>6,000 × 375 mm</t>
  </si>
  <si>
    <t>6 000 × 375 mm</t>
  </si>
  <si>
    <t>6.000 x 375 mm</t>
  </si>
  <si>
    <r>
      <rPr>
        <sz val="11"/>
        <color theme="1"/>
        <rFont val="Calibri"/>
        <family val="2"/>
      </rPr>
      <t>6000 × 375 mm</t>
    </r>
  </si>
  <si>
    <r>
      <rPr>
        <sz val="11"/>
        <color theme="1"/>
        <rFont val="Calibri"/>
        <family val="2"/>
      </rPr>
      <t>6.000 × 375 mm</t>
    </r>
  </si>
  <si>
    <r>
      <rPr>
        <sz val="11"/>
        <color theme="1"/>
        <rFont val="Calibri"/>
        <family val="2"/>
      </rPr>
      <t>6000 × 375 mm</t>
    </r>
  </si>
  <si>
    <t>4: Eventualpositionen können hier gekennzeichnet werden.</t>
  </si>
  <si>
    <t>4: Any additional options can be indicated in this field.</t>
  </si>
  <si>
    <t>4: Ce champ permet d’indiquer les éventuelles options supplémentaires.</t>
  </si>
  <si>
    <t>4: Eventuali note possono essere segnate in questo spazio</t>
  </si>
  <si>
    <t>4: Zde mohu být označeny alternativní položky</t>
  </si>
  <si>
    <t>4: W tym polu można zaznaczyć dodatkowe opcje.</t>
  </si>
  <si>
    <t>4: Itt adhat meg kiegészítő adatokat</t>
  </si>
  <si>
    <t>4: Sem možete zapísať ďalšie položky</t>
  </si>
  <si>
    <r>
      <rPr>
        <sz val="11"/>
        <color theme="1"/>
        <rFont val="Calibri"/>
        <family val="2"/>
      </rPr>
      <t>4: Eventuele posities kunnen hier worden gemarkeerd.</t>
    </r>
  </si>
  <si>
    <t>4: tukaj lahko označite morebitne pozicije</t>
  </si>
  <si>
    <r>
      <rPr>
        <sz val="11"/>
        <color theme="1"/>
        <rFont val="Calibri"/>
        <family val="2"/>
      </rPr>
      <t>4: Eventuella positioner kan noteras här.</t>
    </r>
  </si>
  <si>
    <r>
      <rPr>
        <sz val="11"/>
        <color theme="1"/>
        <rFont val="Calibri"/>
        <family val="2"/>
      </rPr>
      <t>4: Eventualpositioner kan markeres her.</t>
    </r>
  </si>
  <si>
    <r>
      <rPr>
        <sz val="11"/>
        <color theme="1"/>
        <rFont val="Calibri"/>
        <family val="2"/>
      </rPr>
      <t>4: Andelsposisjoner kan merkes her.</t>
    </r>
  </si>
  <si>
    <t>4: Ovdje se mogu označiti eventualne pozicije.</t>
  </si>
  <si>
    <t>60 mm Ausladung</t>
  </si>
  <si>
    <t>60 mm projection</t>
  </si>
  <si>
    <t>projection de 60 mm</t>
  </si>
  <si>
    <t>60 mm disassamento</t>
  </si>
  <si>
    <t>60 mm přesah</t>
  </si>
  <si>
    <t>60 mm ochrony</t>
  </si>
  <si>
    <t>vybočenie 60 mm</t>
  </si>
  <si>
    <r>
      <rPr>
        <sz val="11"/>
        <color theme="1"/>
        <rFont val="Calibri"/>
        <family val="2"/>
      </rPr>
      <t>Reikwijdte 60 mm</t>
    </r>
  </si>
  <si>
    <t>60 mm grlo</t>
  </si>
  <si>
    <r>
      <rPr>
        <sz val="11"/>
        <color theme="1"/>
        <rFont val="Calibri"/>
        <family val="2"/>
      </rPr>
      <t>60 mm utladdning</t>
    </r>
  </si>
  <si>
    <r>
      <rPr>
        <sz val="11"/>
        <color theme="1"/>
        <rFont val="Calibri"/>
        <family val="2"/>
      </rPr>
      <t>60 mm udhæng</t>
    </r>
  </si>
  <si>
    <r>
      <rPr>
        <sz val="11"/>
        <color theme="1"/>
        <rFont val="Calibri"/>
        <family val="2"/>
      </rPr>
      <t>60 mm radius</t>
    </r>
  </si>
  <si>
    <t>Pomak 60 mm</t>
  </si>
  <si>
    <t>60 ⌀</t>
  </si>
  <si>
    <t>60 ⌀ × 3.000 mm</t>
  </si>
  <si>
    <t>⌀ 60 × 3,000 mm</t>
  </si>
  <si>
    <t>60 ø × 3 000 mm</t>
  </si>
  <si>
    <t>ø60 x 3.000 mm</t>
  </si>
  <si>
    <t>60 ø x 3.000 mm</t>
  </si>
  <si>
    <r>
      <rPr>
        <sz val="11"/>
        <color theme="1"/>
        <rFont val="Calibri"/>
        <family val="2"/>
      </rPr>
      <t>60 ⌀ × 3000 mm</t>
    </r>
  </si>
  <si>
    <r>
      <rPr>
        <sz val="11"/>
        <color theme="1"/>
        <rFont val="Calibri"/>
        <family val="2"/>
      </rPr>
      <t>60 ⌀ × 3.000 mm</t>
    </r>
  </si>
  <si>
    <r>
      <rPr>
        <sz val="11"/>
        <color theme="1"/>
        <rFont val="Calibri"/>
        <family val="2"/>
      </rPr>
      <t>60 ⌀ × 3000 mm</t>
    </r>
  </si>
  <si>
    <t>5: Am Tabellenende können Artikel, die nicht in der Liste aufgelistet sind, eingetragen werden..</t>
  </si>
  <si>
    <t>5: Any items which do not appear in the list can be entered at the end of the table.</t>
  </si>
  <si>
    <t>5: Vous pouvez intégrer en bas de tableau des articles qui ne sont pas mentionnés dans la liste.</t>
  </si>
  <si>
    <t>5: In fondo alla tabella, possono essere inseriti ulteriori articoli non presenti nella lista</t>
  </si>
  <si>
    <t xml:space="preserve">5: Na konci tabulky mohou být uvedeny položky, které nejsou v seznamu </t>
  </si>
  <si>
    <t>5: Na końcu tabeli można wpisać dowolne pozycje, które nie znajdują się na liście.</t>
  </si>
  <si>
    <t>5: A táblázat végén adhat meg a táblázatban nem szereplő tételeket</t>
  </si>
  <si>
    <t>5: Položky, ktoré nie sú uvedené v zozname, je možné uviesť na konci tabuľky</t>
  </si>
  <si>
    <r>
      <rPr>
        <sz val="11"/>
        <color theme="1"/>
        <rFont val="Calibri"/>
        <family val="2"/>
      </rPr>
      <t>5: Aan het einde van de tabel kunnen artikelen worden ingevoerd die niet in de lijst zijn vermeld.</t>
    </r>
  </si>
  <si>
    <t>5: na koncu tabele lahko vnesete elemente, ki niso navedeni na seznamu</t>
  </si>
  <si>
    <r>
      <rPr>
        <sz val="11"/>
        <color theme="1"/>
        <rFont val="Calibri"/>
        <family val="2"/>
      </rPr>
      <t>5: I slutet av tabellen kan artiklar som inte finns i listan noteras.</t>
    </r>
  </si>
  <si>
    <r>
      <rPr>
        <sz val="11"/>
        <color theme="1"/>
        <rFont val="Calibri"/>
        <family val="2"/>
      </rPr>
      <t>5: Artikler, der ikke er anført i listen, kan indsættes i slutningen af tabellen.</t>
    </r>
  </si>
  <si>
    <r>
      <rPr>
        <sz val="11"/>
        <color theme="1"/>
        <rFont val="Calibri"/>
        <family val="2"/>
      </rPr>
      <t>5: På slutten av tabellen kan du føre inn artikler som ikke står i listen.</t>
    </r>
  </si>
  <si>
    <t>5: Na kraju tablice se mogu unijeti artikli koji nisu navedeni u popisu.</t>
  </si>
  <si>
    <t>700 × 1,0 mm</t>
  </si>
  <si>
    <t>700 × 1.0 mm</t>
  </si>
  <si>
    <t>700 x 1,0 mm</t>
  </si>
  <si>
    <r>
      <rPr>
        <sz val="11"/>
        <color theme="1"/>
        <rFont val="Calibri"/>
        <family val="2"/>
      </rPr>
      <t>700 × 1,0 mm</t>
    </r>
  </si>
  <si>
    <t>6: Zusatzvermerke können hier eingefügt werden.</t>
  </si>
  <si>
    <t>6: Add any additional comments here.</t>
  </si>
  <si>
    <t>6: Ce champ vous permet de fournir des indications supplémentaires.</t>
  </si>
  <si>
    <t>6: Ulteriori annotazioni possono essere inserite qui</t>
  </si>
  <si>
    <t>6:Zde je možné vložit další poznámky</t>
  </si>
  <si>
    <t>6: Dodaj dodatkowe komentarze tutaj.</t>
  </si>
  <si>
    <t>6: megjegyzések</t>
  </si>
  <si>
    <t>6: Sem môžete zapísať ďalšie poznámky</t>
  </si>
  <si>
    <r>
      <rPr>
        <sz val="11"/>
        <color theme="1"/>
        <rFont val="Calibri"/>
        <family val="2"/>
      </rPr>
      <t>6: Hier kunnen aanvullende noties worden ingevoegd.</t>
    </r>
  </si>
  <si>
    <t>6: tu lahko dodate dodatne opombe</t>
  </si>
  <si>
    <r>
      <rPr>
        <sz val="11"/>
        <color theme="1"/>
        <rFont val="Calibri"/>
        <family val="2"/>
      </rPr>
      <t>6: Kompletterande noteringar kan bifogas här.</t>
    </r>
  </si>
  <si>
    <r>
      <rPr>
        <sz val="11"/>
        <color theme="1"/>
        <rFont val="Calibri"/>
        <family val="2"/>
      </rPr>
      <t>6: Ekstra anmærkninger kan indsættes her.</t>
    </r>
  </si>
  <si>
    <r>
      <rPr>
        <sz val="11"/>
        <color theme="1"/>
        <rFont val="Calibri"/>
        <family val="2"/>
      </rPr>
      <t>6: Tilleggsnotater kan føyes til her.</t>
    </r>
  </si>
  <si>
    <t>6: Ovdje se mogu ubaciti dodatne napomene.</t>
  </si>
  <si>
    <t>80 ⌀</t>
  </si>
  <si>
    <t>7: Nicht benötigte Positionen können durch den Filter ausgeblendet werden.</t>
  </si>
  <si>
    <t>7: Use this filter to mask any entries that you do not require.</t>
  </si>
  <si>
    <t>7: Le filtre permet de masquer les entrées dont vous n’avez pas besoin.</t>
  </si>
  <si>
    <t>7: Posizioni non necessarie possono essere nascoste con l'utilizzo dei filtri</t>
  </si>
  <si>
    <t xml:space="preserve">7: Nepoužívané položky mohou být pomocí filtru odstraněny </t>
  </si>
  <si>
    <t>7: Użyj tego filtru do ukrycia wpisów, których nie potrzebujesz.</t>
  </si>
  <si>
    <t>7: A nem szükséges pozíciók kiszűrhetők</t>
  </si>
  <si>
    <t xml:space="preserve">7: Nepotrebné položky sa môžu nezobraziť pomocou filtra </t>
  </si>
  <si>
    <r>
      <rPr>
        <sz val="11"/>
        <color theme="1"/>
        <rFont val="Calibri"/>
        <family val="2"/>
      </rPr>
      <t>7: Posten die niet nodig zijn, kunnen door de filter worden verborgen.</t>
    </r>
  </si>
  <si>
    <t>7: pazite na neoznačene pozicije pri filtriranju</t>
  </si>
  <si>
    <r>
      <rPr>
        <sz val="11"/>
        <color theme="1"/>
        <rFont val="Calibri"/>
        <family val="2"/>
      </rPr>
      <t>7: Ej nödvändiga positioner kan döljas genom filtret.</t>
    </r>
  </si>
  <si>
    <r>
      <rPr>
        <sz val="11"/>
        <color theme="1"/>
        <rFont val="Calibri"/>
        <family val="2"/>
      </rPr>
      <t>7: Unødvendige positioner kan skjules vha. filteret.</t>
    </r>
  </si>
  <si>
    <r>
      <rPr>
        <sz val="11"/>
        <color theme="1"/>
        <rFont val="Calibri"/>
        <family val="2"/>
      </rPr>
      <t>7: Posisjoner som ikke er nødvendige, kan fjernes med filteret.</t>
    </r>
  </si>
  <si>
    <t>7: Pozicije, koje nisu potrebne mogu se sakriti pomoću filtra.</t>
  </si>
  <si>
    <t>Ablaufdimension:</t>
  </si>
  <si>
    <t>Downpipe dimension:</t>
  </si>
  <si>
    <t>Dimension du tuyau de descente :</t>
  </si>
  <si>
    <t>Diametro pluviale</t>
  </si>
  <si>
    <t>Średnica rury spustowej:</t>
  </si>
  <si>
    <t>Lefolyási keresztmetszet:</t>
  </si>
  <si>
    <t>Dimenzia zvodu:</t>
  </si>
  <si>
    <r>
      <rPr>
        <sz val="11"/>
        <color theme="1"/>
        <rFont val="Calibri"/>
        <family val="2"/>
      </rPr>
      <t>Afloopdimensie:</t>
    </r>
  </si>
  <si>
    <r>
      <rPr>
        <sz val="11"/>
        <color theme="1"/>
        <rFont val="Calibri"/>
        <family val="2"/>
      </rPr>
      <t>Avrinningsdimension:</t>
    </r>
  </si>
  <si>
    <r>
      <rPr>
        <sz val="11"/>
        <color theme="1"/>
        <rFont val="Calibri"/>
        <family val="2"/>
      </rPr>
      <t>Forløbsmål:</t>
    </r>
  </si>
  <si>
    <r>
      <rPr>
        <sz val="11"/>
        <color theme="1"/>
        <rFont val="Calibri"/>
        <family val="2"/>
      </rPr>
      <t>Nedløpsdimensjon:</t>
    </r>
  </si>
  <si>
    <t>Dimenzija odvoda:</t>
  </si>
  <si>
    <t>02 anthracite</t>
  </si>
  <si>
    <t>02 antracite</t>
  </si>
  <si>
    <t>02 anthracit</t>
  </si>
  <si>
    <t>02 antracyt</t>
  </si>
  <si>
    <t xml:space="preserve">02 antracit </t>
  </si>
  <si>
    <t>02 antracitová</t>
  </si>
  <si>
    <r>
      <rPr>
        <sz val="11"/>
        <color theme="1"/>
        <rFont val="Calibri"/>
        <family val="2"/>
      </rPr>
      <t>02 antraciet</t>
    </r>
  </si>
  <si>
    <t>02 antracitna</t>
  </si>
  <si>
    <r>
      <rPr>
        <sz val="11"/>
        <color theme="1"/>
        <rFont val="Calibri"/>
        <family val="2"/>
      </rPr>
      <t>02 antracit</t>
    </r>
  </si>
  <si>
    <r>
      <rPr>
        <sz val="11"/>
        <color theme="1"/>
        <rFont val="Calibri"/>
        <family val="2"/>
      </rPr>
      <t>02 antrasitt</t>
    </r>
  </si>
  <si>
    <t>02 antracit</t>
  </si>
  <si>
    <t>Bedienungsanleitung</t>
  </si>
  <si>
    <t>operating instructions</t>
  </si>
  <si>
    <t>mode d’emploi</t>
  </si>
  <si>
    <t>Istruzioni per l'uso</t>
  </si>
  <si>
    <t>Návod k použití</t>
  </si>
  <si>
    <t>Instrukcja obsługi</t>
  </si>
  <si>
    <t>Használati útmutató</t>
  </si>
  <si>
    <t>Návod na použitie</t>
  </si>
  <si>
    <r>
      <rPr>
        <sz val="11"/>
        <color theme="1"/>
        <rFont val="Calibri"/>
        <family val="2"/>
      </rPr>
      <t>Gebruikershandleiding</t>
    </r>
  </si>
  <si>
    <t>navodila za uporabo</t>
  </si>
  <si>
    <r>
      <rPr>
        <sz val="11"/>
        <color theme="1"/>
        <rFont val="Calibri"/>
        <family val="2"/>
      </rPr>
      <t>Bruksanvisning</t>
    </r>
  </si>
  <si>
    <r>
      <rPr>
        <sz val="11"/>
        <color theme="1"/>
        <rFont val="Calibri"/>
        <family val="2"/>
      </rPr>
      <t>Betjeningsvejledning</t>
    </r>
  </si>
  <si>
    <t>Upute za uporabu</t>
  </si>
  <si>
    <t>01 brown</t>
  </si>
  <si>
    <t>01 brun</t>
  </si>
  <si>
    <t>01 marrone</t>
  </si>
  <si>
    <t>01 Tmavě hnědá</t>
  </si>
  <si>
    <t>01 brązowy</t>
  </si>
  <si>
    <t>01 barna/antracit</t>
  </si>
  <si>
    <t>01 hnedá</t>
  </si>
  <si>
    <r>
      <rPr>
        <sz val="11"/>
        <color theme="1"/>
        <rFont val="Calibri"/>
        <family val="2"/>
      </rPr>
      <t>01 bruin</t>
    </r>
  </si>
  <si>
    <t>01 anodik rjava</t>
  </si>
  <si>
    <r>
      <rPr>
        <sz val="11"/>
        <color theme="1"/>
        <rFont val="Calibri"/>
        <family val="2"/>
      </rPr>
      <t>01 brun</t>
    </r>
  </si>
  <si>
    <t>01 smeđa</t>
  </si>
  <si>
    <t>DACHENTWÄSSERUNG</t>
  </si>
  <si>
    <t>ROOF DRAINAGE</t>
  </si>
  <si>
    <t>GOUTTIÈRES</t>
  </si>
  <si>
    <t>SMALTIMENTO ACQUE</t>
  </si>
  <si>
    <t>Odvodňovací systém</t>
  </si>
  <si>
    <t>ODWODNIENIE DAHU</t>
  </si>
  <si>
    <t>TETŐ VÍZELVEZETÉS</t>
  </si>
  <si>
    <t>ODVODNENIE STRECHY</t>
  </si>
  <si>
    <r>
      <rPr>
        <sz val="11"/>
        <color theme="1"/>
        <rFont val="Calibri"/>
        <family val="2"/>
      </rPr>
      <t>DAKAFWATERING</t>
    </r>
  </si>
  <si>
    <t>sistem za odvodnjavanje</t>
  </si>
  <si>
    <t>TAKDRÄNERING</t>
  </si>
  <si>
    <r>
      <rPr>
        <sz val="11"/>
        <color theme="1"/>
        <rFont val="Calibri"/>
        <family val="2"/>
      </rPr>
      <t>TAGDRÆNING</t>
    </r>
  </si>
  <si>
    <r>
      <rPr>
        <sz val="11"/>
        <color theme="1"/>
        <rFont val="Calibri"/>
        <family val="2"/>
      </rPr>
      <t>TAKDRENERING</t>
    </r>
  </si>
  <si>
    <t>KROVNA ODVODNJA</t>
  </si>
  <si>
    <t>DACHPANEL FX.12</t>
  </si>
  <si>
    <t>FX.12 ROOF PANEL</t>
  </si>
  <si>
    <t>PANNEAU DE TOITURE FX.12</t>
  </si>
  <si>
    <t>FX.12</t>
  </si>
  <si>
    <t>STŘEŠNÍ PANEL FX.12</t>
  </si>
  <si>
    <t>PANEL DACHOWY FX.12</t>
  </si>
  <si>
    <t>FX.12 TETŐFEDŐ PANEL</t>
  </si>
  <si>
    <t>STREŠNÝ PANEL FX.12</t>
  </si>
  <si>
    <r>
      <rPr>
        <sz val="11"/>
        <color theme="1"/>
        <rFont val="Calibri"/>
        <family val="2"/>
      </rPr>
      <t>DAKPANEEL FX.12</t>
    </r>
  </si>
  <si>
    <t>strešni panel fx.12</t>
  </si>
  <si>
    <r>
      <rPr>
        <sz val="11"/>
        <color theme="1"/>
        <rFont val="Calibri"/>
        <family val="2"/>
      </rPr>
      <t>TAKPANEL FX.12</t>
    </r>
  </si>
  <si>
    <r>
      <rPr>
        <sz val="11"/>
        <color theme="1"/>
        <rFont val="Calibri"/>
        <family val="2"/>
      </rPr>
      <t>TAGPANEL FX.12</t>
    </r>
  </si>
  <si>
    <t>KROVNI PANEL FX.12</t>
  </si>
  <si>
    <t>DACHPLATTE R.16</t>
  </si>
  <si>
    <t>R.16 ROOF TILE</t>
  </si>
  <si>
    <t>R.16</t>
  </si>
  <si>
    <t>TEGOLA R.16</t>
  </si>
  <si>
    <t>STŘEŠNÍ PANEL R.16</t>
  </si>
  <si>
    <t>DACHÓWKA R.16</t>
  </si>
  <si>
    <t>R.16 TETŐFEDŐ ELEM</t>
  </si>
  <si>
    <t>STREŠNÁ ŠKRIDLA R.16</t>
  </si>
  <si>
    <r>
      <rPr>
        <sz val="11"/>
        <color theme="1"/>
        <rFont val="Calibri"/>
        <family val="2"/>
      </rPr>
      <t>DAKPLAAT R.16</t>
    </r>
  </si>
  <si>
    <t>strešna plošča r.16</t>
  </si>
  <si>
    <r>
      <rPr>
        <sz val="11"/>
        <color theme="1"/>
        <rFont val="Calibri"/>
        <family val="2"/>
      </rPr>
      <t>TAKPLATTA R.16</t>
    </r>
  </si>
  <si>
    <r>
      <rPr>
        <sz val="11"/>
        <color theme="1"/>
        <rFont val="Calibri"/>
        <family val="2"/>
      </rPr>
      <t>TAGPLADE R.16</t>
    </r>
  </si>
  <si>
    <r>
      <rPr>
        <sz val="11"/>
        <color theme="1"/>
        <rFont val="Calibri"/>
        <family val="2"/>
      </rPr>
      <t>TAKPLATE R.16</t>
    </r>
  </si>
  <si>
    <t>KROVNA PLOČA R.16</t>
  </si>
  <si>
    <t>DACHRAUTE 29 × 29</t>
  </si>
  <si>
    <t>RHOMBOID ROOF TILE 29 × 29</t>
  </si>
  <si>
    <t>LOSANGE DE TOITURE 29 × 29</t>
  </si>
  <si>
    <t>SCAGLIA 29</t>
  </si>
  <si>
    <t>STŘEŠNÍ ŠABLONA 29x29</t>
  </si>
  <si>
    <t>DACHÓWKA ROMB 29 × 29</t>
  </si>
  <si>
    <t>29X29 TETŐFEDŐ ROMBUSZ</t>
  </si>
  <si>
    <t>STREŠNÁ ŠABLÓNA 29x29</t>
  </si>
  <si>
    <r>
      <rPr>
        <sz val="11"/>
        <color theme="1"/>
        <rFont val="Calibri"/>
        <family val="2"/>
      </rPr>
      <t>DAKLOSANGE 29 × 29</t>
    </r>
  </si>
  <si>
    <t>strešni romb 29x29</t>
  </si>
  <si>
    <r>
      <rPr>
        <sz val="11"/>
        <color theme="1"/>
        <rFont val="Calibri"/>
        <family val="2"/>
      </rPr>
      <t>TAKROMB 29 × 29</t>
    </r>
  </si>
  <si>
    <r>
      <rPr>
        <sz val="11"/>
        <color theme="1"/>
        <rFont val="Calibri"/>
        <family val="2"/>
      </rPr>
      <t>RUDEFORMET TAGPLADE 29 × 29</t>
    </r>
  </si>
  <si>
    <r>
      <rPr>
        <sz val="11"/>
        <color theme="1"/>
        <rFont val="Calibri"/>
        <family val="2"/>
      </rPr>
      <t>TAKSTEIN 29 × 29</t>
    </r>
  </si>
  <si>
    <t>KROVNI ROMB 29 × 29</t>
  </si>
  <si>
    <t>DACHRAUTE 44 × 44</t>
  </si>
  <si>
    <t>RHOMBOID ROOF TILE 44 × 44</t>
  </si>
  <si>
    <t>LOSANGE DE TOITURE 44 × 44</t>
  </si>
  <si>
    <t>SCAGLIA 44</t>
  </si>
  <si>
    <t>STŘEŠNÍ ŠABLONA 44x44</t>
  </si>
  <si>
    <t>DACHÓWKA ROMB 44 × 44</t>
  </si>
  <si>
    <t>44X44 TETŐFEDŐ ROMBUSZ</t>
  </si>
  <si>
    <t>STREŠNÁ ŠABLÓNA 44x44</t>
  </si>
  <si>
    <r>
      <rPr>
        <sz val="11"/>
        <color theme="1"/>
        <rFont val="Calibri"/>
        <family val="2"/>
      </rPr>
      <t>DAKLOSANGE 44 × 44</t>
    </r>
  </si>
  <si>
    <t>strešni romb 44x44</t>
  </si>
  <si>
    <r>
      <rPr>
        <sz val="11"/>
        <color theme="1"/>
        <rFont val="Calibri"/>
        <family val="2"/>
      </rPr>
      <t>TAKROMB 44 × 44</t>
    </r>
  </si>
  <si>
    <r>
      <rPr>
        <sz val="11"/>
        <color theme="1"/>
        <rFont val="Calibri"/>
        <family val="2"/>
      </rPr>
      <t>RUDEFORMET TAGPLADE 44 × 44</t>
    </r>
  </si>
  <si>
    <r>
      <rPr>
        <sz val="11"/>
        <color theme="1"/>
        <rFont val="Calibri"/>
        <family val="2"/>
      </rPr>
      <t>TAKSTEIN 44 × 44</t>
    </r>
  </si>
  <si>
    <t>KROVNI ROMB 44 × 44</t>
  </si>
  <si>
    <t>DACHSCHINDEL</t>
  </si>
  <si>
    <t>SHINGLE</t>
  </si>
  <si>
    <t>BARDEAU</t>
  </si>
  <si>
    <t>SCANDOLA</t>
  </si>
  <si>
    <t>Falcovaný šindel</t>
  </si>
  <si>
    <t>DACHÓWKA ŁUPKOWA</t>
  </si>
  <si>
    <t>TETŐFEDŐ ZSINDELY</t>
  </si>
  <si>
    <t>STREŠNÝ ŠINDEĽ</t>
  </si>
  <si>
    <r>
      <rPr>
        <sz val="11"/>
        <color theme="1"/>
        <rFont val="Calibri"/>
        <family val="2"/>
      </rPr>
      <t>DAKSCHINDEL</t>
    </r>
  </si>
  <si>
    <t>strešna skodla</t>
  </si>
  <si>
    <r>
      <rPr>
        <sz val="11"/>
        <color theme="1"/>
        <rFont val="Calibri"/>
        <family val="2"/>
      </rPr>
      <t>TAKSHINGEL</t>
    </r>
  </si>
  <si>
    <r>
      <rPr>
        <sz val="11"/>
        <color theme="1"/>
        <rFont val="Calibri"/>
        <family val="2"/>
      </rPr>
      <t>TAGSPÅN</t>
    </r>
  </si>
  <si>
    <t>KROVNA ŠINDRA</t>
  </si>
  <si>
    <t>Dimension nicht möglich</t>
  </si>
  <si>
    <t>Dimension not available</t>
  </si>
  <si>
    <t>Dimension non disponible</t>
  </si>
  <si>
    <t>Misura non disponibile</t>
  </si>
  <si>
    <t>Rozměr není možný</t>
  </si>
  <si>
    <t>Wymiar jest nie dostępny</t>
  </si>
  <si>
    <t>Ez a méret nem érhető el</t>
  </si>
  <si>
    <t>Rozmer nie je k dispozícii</t>
  </si>
  <si>
    <r>
      <rPr>
        <sz val="11"/>
        <color theme="1"/>
        <rFont val="Calibri"/>
        <family val="2"/>
      </rPr>
      <t>Dimensie niet mogelijk</t>
    </r>
  </si>
  <si>
    <t>Dimenzija ni na voljo</t>
  </si>
  <si>
    <r>
      <rPr>
        <sz val="11"/>
        <color theme="1"/>
        <rFont val="Calibri"/>
        <family val="2"/>
      </rPr>
      <t>Dimensionen inte möjlig</t>
    </r>
  </si>
  <si>
    <r>
      <rPr>
        <sz val="11"/>
        <color theme="1"/>
        <rFont val="Calibri"/>
        <family val="2"/>
      </rPr>
      <t>Mål ikke muligt</t>
    </r>
  </si>
  <si>
    <r>
      <rPr>
        <sz val="11"/>
        <color theme="1"/>
        <rFont val="Calibri"/>
        <family val="2"/>
      </rPr>
      <t>Dimensjon ikke mulig</t>
    </r>
  </si>
  <si>
    <t>Dimenzija nije moguća</t>
  </si>
  <si>
    <t>Dimension wählen:</t>
  </si>
  <si>
    <t>Select dimension:</t>
  </si>
  <si>
    <t>Sélectionner la dimension :</t>
  </si>
  <si>
    <t>Selezionare la misura</t>
  </si>
  <si>
    <t>Zvolit rozměr</t>
  </si>
  <si>
    <t>Wybierz średnicę:</t>
  </si>
  <si>
    <t>Méret választása:</t>
  </si>
  <si>
    <t>Vyberte rozmer:</t>
  </si>
  <si>
    <r>
      <rPr>
        <sz val="11"/>
        <color theme="1"/>
        <rFont val="Calibri"/>
        <family val="2"/>
      </rPr>
      <t>Dimensie kiezen:</t>
    </r>
  </si>
  <si>
    <t>Izbrana dimenzija:</t>
  </si>
  <si>
    <r>
      <rPr>
        <sz val="11"/>
        <color theme="1"/>
        <rFont val="Calibri"/>
        <family val="2"/>
      </rPr>
      <t>Välj dimension:</t>
    </r>
  </si>
  <si>
    <r>
      <rPr>
        <sz val="11"/>
        <color theme="1"/>
        <rFont val="Calibri"/>
        <family val="2"/>
      </rPr>
      <t>Vælg mål:</t>
    </r>
  </si>
  <si>
    <r>
      <rPr>
        <sz val="11"/>
        <color theme="1"/>
        <rFont val="Calibri"/>
        <family val="2"/>
      </rPr>
      <t>Velg dimensjon:</t>
    </r>
  </si>
  <si>
    <t>Odabrati dimenziju:</t>
  </si>
  <si>
    <t>07 light grey</t>
  </si>
  <si>
    <t>07 gris souris</t>
  </si>
  <si>
    <t>07 grigio chiaro</t>
  </si>
  <si>
    <t>07 světle šedá</t>
  </si>
  <si>
    <t>07 jasnoszary</t>
  </si>
  <si>
    <t>07 világosszürke</t>
  </si>
  <si>
    <t>07 svetlošedá</t>
  </si>
  <si>
    <r>
      <rPr>
        <sz val="11"/>
        <color theme="1"/>
        <rFont val="Calibri"/>
        <family val="2"/>
      </rPr>
      <t>07 lichtgrijs</t>
    </r>
  </si>
  <si>
    <t>07 svetlo siva</t>
  </si>
  <si>
    <r>
      <rPr>
        <sz val="11"/>
        <color theme="1"/>
        <rFont val="Calibri"/>
        <family val="2"/>
      </rPr>
      <t>07 ljusgrå</t>
    </r>
  </si>
  <si>
    <r>
      <rPr>
        <sz val="11"/>
        <color theme="1"/>
        <rFont val="Calibri"/>
        <family val="2"/>
      </rPr>
      <t>07 lys grå</t>
    </r>
  </si>
  <si>
    <t>07 svijetlo siva</t>
  </si>
  <si>
    <t>kurz</t>
  </si>
  <si>
    <t>short</t>
  </si>
  <si>
    <t>court</t>
  </si>
  <si>
    <t>corto</t>
  </si>
  <si>
    <t>krátký</t>
  </si>
  <si>
    <t>krótki</t>
  </si>
  <si>
    <t>rövid</t>
  </si>
  <si>
    <t>krátky</t>
  </si>
  <si>
    <r>
      <rPr>
        <sz val="11"/>
        <color theme="1"/>
        <rFont val="Calibri"/>
        <family val="2"/>
      </rPr>
      <t>kort</t>
    </r>
  </si>
  <si>
    <t>kratko</t>
  </si>
  <si>
    <t>lang</t>
  </si>
  <si>
    <t>long</t>
  </si>
  <si>
    <t>lungo</t>
  </si>
  <si>
    <t>dlouhý</t>
  </si>
  <si>
    <t xml:space="preserve">długi </t>
  </si>
  <si>
    <t>hosszú</t>
  </si>
  <si>
    <t>dĺžka</t>
  </si>
  <si>
    <r>
      <rPr>
        <sz val="11"/>
        <color theme="1"/>
        <rFont val="Calibri"/>
        <family val="2"/>
      </rPr>
      <t>lang</t>
    </r>
  </si>
  <si>
    <t>dolgo</t>
  </si>
  <si>
    <r>
      <rPr>
        <sz val="11"/>
        <color theme="1"/>
        <rFont val="Calibri"/>
        <family val="2"/>
      </rPr>
      <t>lång</t>
    </r>
  </si>
  <si>
    <t>dugo</t>
  </si>
  <si>
    <t>Länge wählen:</t>
  </si>
  <si>
    <t>Select length:</t>
  </si>
  <si>
    <t>Sélectionner la longueur :</t>
  </si>
  <si>
    <t>Selezionare la lunghezza</t>
  </si>
  <si>
    <t>Zvolit délku</t>
  </si>
  <si>
    <t>Wybierz długość:</t>
  </si>
  <si>
    <t>Hossz kiválasztása</t>
  </si>
  <si>
    <t>Vyberte dĺžku:</t>
  </si>
  <si>
    <r>
      <rPr>
        <sz val="11"/>
        <color theme="1"/>
        <rFont val="Calibri"/>
        <family val="2"/>
      </rPr>
      <t>Lengte kiezen:</t>
    </r>
  </si>
  <si>
    <t>Izbrana dolžina:</t>
  </si>
  <si>
    <r>
      <rPr>
        <sz val="11"/>
        <color theme="1"/>
        <rFont val="Calibri"/>
        <family val="2"/>
      </rPr>
      <t>Välj längd:</t>
    </r>
  </si>
  <si>
    <r>
      <rPr>
        <sz val="11"/>
        <color theme="1"/>
        <rFont val="Calibri"/>
        <family val="2"/>
      </rPr>
      <t>Vælg længde:</t>
    </r>
  </si>
  <si>
    <r>
      <rPr>
        <sz val="11"/>
        <color theme="1"/>
        <rFont val="Calibri"/>
        <family val="2"/>
      </rPr>
      <t>Velg lengde:</t>
    </r>
  </si>
  <si>
    <t>Odabir duljine:</t>
  </si>
  <si>
    <t>06 moss green</t>
  </si>
  <si>
    <t>06 vert mousse</t>
  </si>
  <si>
    <t>06 verde muschio</t>
  </si>
  <si>
    <t>06 mechově zelená</t>
  </si>
  <si>
    <t>06 zieleń mchu</t>
  </si>
  <si>
    <t>06 mohazöld</t>
  </si>
  <si>
    <t>06 machovozelená</t>
  </si>
  <si>
    <r>
      <rPr>
        <sz val="11"/>
        <color theme="1"/>
        <rFont val="Calibri"/>
        <family val="2"/>
      </rPr>
      <t>06 mosgroen</t>
    </r>
  </si>
  <si>
    <t>06 mahovo zelena</t>
  </si>
  <si>
    <r>
      <rPr>
        <sz val="11"/>
        <color theme="1"/>
        <rFont val="Calibri"/>
        <family val="2"/>
      </rPr>
      <t>06 mossgrön</t>
    </r>
  </si>
  <si>
    <r>
      <rPr>
        <sz val="11"/>
        <color theme="1"/>
        <rFont val="Calibri"/>
        <family val="2"/>
      </rPr>
      <t>06 mosgrøn</t>
    </r>
  </si>
  <si>
    <r>
      <rPr>
        <sz val="11"/>
        <color theme="1"/>
        <rFont val="Calibri"/>
        <family val="2"/>
      </rPr>
      <t>06 mosegrønn</t>
    </r>
  </si>
  <si>
    <t>06 mahovinasto zelena</t>
  </si>
  <si>
    <t>normal</t>
  </si>
  <si>
    <t>normale</t>
  </si>
  <si>
    <t>normální</t>
  </si>
  <si>
    <t>normalny</t>
  </si>
  <si>
    <t>normál</t>
  </si>
  <si>
    <t>normálne</t>
  </si>
  <si>
    <r>
      <rPr>
        <sz val="11"/>
        <color theme="1"/>
        <rFont val="Calibri"/>
        <family val="2"/>
      </rPr>
      <t>normaal</t>
    </r>
  </si>
  <si>
    <t>normalna</t>
  </si>
  <si>
    <r>
      <rPr>
        <sz val="11"/>
        <color theme="1"/>
        <rFont val="Calibri"/>
        <family val="2"/>
      </rPr>
      <t>normal</t>
    </r>
  </si>
  <si>
    <t>normalno</t>
  </si>
  <si>
    <t>11 nut brown</t>
  </si>
  <si>
    <t>11 brun noisette</t>
  </si>
  <si>
    <t>11 testa di moro</t>
  </si>
  <si>
    <t>11 oříšková</t>
  </si>
  <si>
    <t>11 orzechowy brąz</t>
  </si>
  <si>
    <t>11 mogyoróbarna</t>
  </si>
  <si>
    <t>11 orieškovohnedá</t>
  </si>
  <si>
    <r>
      <rPr>
        <sz val="11"/>
        <color theme="1"/>
        <rFont val="Calibri"/>
        <family val="2"/>
      </rPr>
      <t>11 notenkleurig</t>
    </r>
  </si>
  <si>
    <r>
      <rPr>
        <sz val="11"/>
        <color theme="1"/>
        <rFont val="Calibri"/>
        <family val="2"/>
      </rPr>
      <t>11 nötbrun</t>
    </r>
  </si>
  <si>
    <r>
      <rPr>
        <sz val="11"/>
        <color theme="1"/>
        <rFont val="Calibri"/>
        <family val="2"/>
      </rPr>
      <t>11 nøddebrun</t>
    </r>
  </si>
  <si>
    <r>
      <rPr>
        <sz val="11"/>
        <color theme="1"/>
        <rFont val="Calibri"/>
        <family val="2"/>
      </rPr>
      <t>11 nøttebrun</t>
    </r>
  </si>
  <si>
    <t>11 orah smeđa</t>
  </si>
  <si>
    <t>⌀ 100 mm passend für HT/KG (NW 110 mm)</t>
  </si>
  <si>
    <t>⌀ 100 mm suitable for high-temperature and foul drainage pipe (nominal size 110 mm)</t>
  </si>
  <si>
    <t>⌀ 100 mm, compatible tuyaux HT et canalisations souterraines (DN 110 mm)</t>
  </si>
  <si>
    <t>Ø100 mm adatto a tubo HT/KG NW 110 mm</t>
  </si>
  <si>
    <t>Ø100 mm vhodné pro napojení do HT/KG DN 110 mm</t>
  </si>
  <si>
    <t>⌀ 100 mm do rury wywiewnej kanalizacji  (średnica nominalna  110 mm)</t>
  </si>
  <si>
    <t>Ø100 mm, mely 110 mm PVC csőbe köthető be</t>
  </si>
  <si>
    <t>Ø100 mm sedí pre PVC rúru DN 110 mm</t>
  </si>
  <si>
    <r>
      <rPr>
        <sz val="11"/>
        <color theme="1"/>
        <rFont val="Calibri"/>
        <family val="2"/>
      </rPr>
      <t>⌀ 100 mm geschikt voor HT/KG (NW 110 mm)</t>
    </r>
  </si>
  <si>
    <t>Ø100 mm za cev HT/KG NW 110 mm</t>
  </si>
  <si>
    <r>
      <rPr>
        <sz val="11"/>
        <color theme="1"/>
        <rFont val="Calibri"/>
        <family val="2"/>
      </rPr>
      <t>⌀ 100 mm lämplig för HT/KG (NV 110 mm)</t>
    </r>
  </si>
  <si>
    <r>
      <rPr>
        <sz val="11"/>
        <color theme="1"/>
        <rFont val="Calibri"/>
        <family val="2"/>
      </rPr>
      <t>⌀ 100 mm passer til HT/KG (NW 110 mm)</t>
    </r>
  </si>
  <si>
    <r>
      <rPr>
        <sz val="11"/>
        <color theme="1"/>
        <rFont val="Calibri"/>
        <family val="2"/>
      </rPr>
      <t>ø 100 mm passer til HT/KG (NW 110 mm)</t>
    </r>
  </si>
  <si>
    <t>⌀ 100 mm prikladno za HT/KG (DN 110 mm)</t>
  </si>
  <si>
    <t>⌀ 115 mm passend für HT/KG (NW 125 mm)</t>
  </si>
  <si>
    <t>⌀ 115 mm suitable for high-temperature and foul drainage pipe (nominal size 125 mm)</t>
  </si>
  <si>
    <t>⌀ 115 mm, compatible tuyaux HT et canalisations souterraines (DN 125 mm)</t>
  </si>
  <si>
    <t>Ø115 mm adatto a tubo HT/KG NW 125 mm</t>
  </si>
  <si>
    <t>Ø115 mm vhodné pro napojení do HT/KG DN 125 mm</t>
  </si>
  <si>
    <t>⌀ 115 mm do rury wywiewnej kanalizacji  (średnica nominalna  125 mm)</t>
  </si>
  <si>
    <t>Ø115 mm, mely 125 mm PVC csőbe köthető be</t>
  </si>
  <si>
    <t>Ø115 mm sedí pre PVC rúru DN 125 mm</t>
  </si>
  <si>
    <r>
      <rPr>
        <sz val="11"/>
        <color theme="1"/>
        <rFont val="Calibri"/>
        <family val="2"/>
      </rPr>
      <t>⌀ 115 mm geschikt voor HT/KG (NW 125 mm)</t>
    </r>
  </si>
  <si>
    <t>Ø115 mm za cev HT/KG NW 125 mm</t>
  </si>
  <si>
    <r>
      <rPr>
        <sz val="11"/>
        <color theme="1"/>
        <rFont val="Calibri"/>
        <family val="2"/>
      </rPr>
      <t>⌀ 115 mm lämplig för HT/KG (NV 125 mm)</t>
    </r>
  </si>
  <si>
    <r>
      <rPr>
        <sz val="11"/>
        <color theme="1"/>
        <rFont val="Calibri"/>
        <family val="2"/>
      </rPr>
      <t>⌀ 115 mm passer til HT/KG (NW 125 mm)</t>
    </r>
  </si>
  <si>
    <r>
      <rPr>
        <sz val="11"/>
        <color theme="1"/>
        <rFont val="Calibri"/>
        <family val="2"/>
      </rPr>
      <t>ø 115 mm passer til HT/KG (NW 125 mm)</t>
    </r>
  </si>
  <si>
    <t>⌀ 115 mm prikladno za HT/KG (DN 125 mm)</t>
  </si>
  <si>
    <t>05 oxide red</t>
  </si>
  <si>
    <t>05 rouge oxyde</t>
  </si>
  <si>
    <t>05 rosso ossido</t>
  </si>
  <si>
    <t>05 tmavě červená_CZ</t>
  </si>
  <si>
    <t>05 czerwony</t>
  </si>
  <si>
    <t xml:space="preserve">05 rozsdavörös   </t>
  </si>
  <si>
    <t>05 tmavočervená</t>
  </si>
  <si>
    <r>
      <rPr>
        <sz val="11"/>
        <color theme="1"/>
        <rFont val="Calibri"/>
        <family val="2"/>
      </rPr>
      <t>05 oxiderood</t>
    </r>
  </si>
  <si>
    <t>05 oksidno rdeča</t>
  </si>
  <si>
    <r>
      <rPr>
        <sz val="11"/>
        <color theme="1"/>
        <rFont val="Calibri"/>
        <family val="2"/>
      </rPr>
      <t>05 oxidröd</t>
    </r>
  </si>
  <si>
    <r>
      <rPr>
        <sz val="11"/>
        <color theme="1"/>
        <rFont val="Calibri"/>
        <family val="2"/>
      </rPr>
      <t>05 oxidrød</t>
    </r>
  </si>
  <si>
    <r>
      <rPr>
        <sz val="11"/>
        <color theme="1"/>
        <rFont val="Calibri"/>
        <family val="2"/>
      </rPr>
      <t>05 oksidrød</t>
    </r>
  </si>
  <si>
    <t>05 oksid crvena</t>
  </si>
  <si>
    <t>Abdeckkappe für Rohrschellendorn</t>
  </si>
  <si>
    <t>protective cap for pipe bracket pin</t>
  </si>
  <si>
    <t>cache pour goujon de collier</t>
  </si>
  <si>
    <t>Calotta per chiodo collare</t>
  </si>
  <si>
    <t>Plastová krytka trnu k objímce</t>
  </si>
  <si>
    <t>nasadka ochronna na bolce wspornika</t>
  </si>
  <si>
    <t>takaróelem lefolyócsőbilincs-szárhoz</t>
  </si>
  <si>
    <t>kryt tŕňa objímky zvodu</t>
  </si>
  <si>
    <t>afdekkap voor klembeugeldoorn</t>
  </si>
  <si>
    <t>pokrivna kapa za objemko</t>
  </si>
  <si>
    <t>täckkåpa för rörsvepsdorn</t>
  </si>
  <si>
    <t>dækkappe til rørbøjledorn</t>
  </si>
  <si>
    <t>deksel for rørklemmestift</t>
  </si>
  <si>
    <t>pokrovna kapa za trn cijevne obujmice</t>
  </si>
  <si>
    <t>Ablaufkette</t>
  </si>
  <si>
    <t>rain chain (5 mm)</t>
  </si>
  <si>
    <t>chaîne de 5 mm</t>
  </si>
  <si>
    <t>Catena 5 mm</t>
  </si>
  <si>
    <t>Svodový řetěz 5 mm</t>
  </si>
  <si>
    <t>Łańcuch spustowy 5 mm</t>
  </si>
  <si>
    <t>lefolyólánc 5 mm</t>
  </si>
  <si>
    <t>reťaz daždového zvodu 5 mm</t>
  </si>
  <si>
    <t>afloopketting 5 mm</t>
  </si>
  <si>
    <t>veriga za odtok</t>
  </si>
  <si>
    <t>avrinningskedja 5 mm</t>
  </si>
  <si>
    <t>nedløbskæde 5 mm</t>
  </si>
  <si>
    <t>nedløpskjetting 5 mm</t>
  </si>
  <si>
    <t>izljevni lanac 5 mm</t>
  </si>
  <si>
    <t>Ablaufrohr 100, 1,6 mm, inkl. Muffe</t>
  </si>
  <si>
    <t>downpipe (1.6 mm; DN 100)</t>
  </si>
  <si>
    <t>tuyau de descente, 1,6 mm, DN 100</t>
  </si>
  <si>
    <t>Pluviale 1,6 mm DN 100</t>
  </si>
  <si>
    <t>Kruhový svod robustní 1,6 mm DN 100</t>
  </si>
  <si>
    <t>rura spustowa 1,6 mm DN 100</t>
  </si>
  <si>
    <t>lefolyócső 1,6 mm DN 100</t>
  </si>
  <si>
    <t>dažďový zvod 1,6 mm DN 100</t>
  </si>
  <si>
    <t>afloopbuis 1,6 mm DN 100</t>
  </si>
  <si>
    <t>iztočna cev debeline 1,6 mm DN 100</t>
  </si>
  <si>
    <t>stuprör, 1,6 mm DN 100</t>
  </si>
  <si>
    <t>nedløbsrør 1,6 mm DN 100</t>
  </si>
  <si>
    <t>nedløpsrør 1,6 mm DN 100</t>
  </si>
  <si>
    <t>odvodna cijev 1,6 mm DN 100</t>
  </si>
  <si>
    <t>Ablaufrohr, 60</t>
  </si>
  <si>
    <t>downpipe (DN 60, welded)</t>
  </si>
  <si>
    <t>tuyau de descente, DN 60, soudé</t>
  </si>
  <si>
    <t>Pluviale DN 60 saldato</t>
  </si>
  <si>
    <t>Kruhový svod DN 60 svařovaný</t>
  </si>
  <si>
    <t>rura spustowa DN 60 spawana</t>
  </si>
  <si>
    <t>lefolyócső DN 60 hegesztett</t>
  </si>
  <si>
    <t>dažďový zvod DN 60, zváraný</t>
  </si>
  <si>
    <t>afloopbuis DN 60 gelast</t>
  </si>
  <si>
    <t>iztočna cev DN 60 varjena</t>
  </si>
  <si>
    <t>stuprör DN 60 svetsat</t>
  </si>
  <si>
    <t>nedløbsrør DN 60 svejset</t>
  </si>
  <si>
    <t>nedløpsrør DN 60 sveiset</t>
  </si>
  <si>
    <t>odvodna cijev DN 60 zavarena</t>
  </si>
  <si>
    <t>Ablaufrohr mit Schutzfolie</t>
  </si>
  <si>
    <t>downpipes</t>
  </si>
  <si>
    <t>tuyaux de descente</t>
  </si>
  <si>
    <t>Pluviali</t>
  </si>
  <si>
    <t>Svody</t>
  </si>
  <si>
    <t>rura spustowe</t>
  </si>
  <si>
    <t>lefolyócsövek</t>
  </si>
  <si>
    <t>dažďový zvod</t>
  </si>
  <si>
    <t>afloopbuizen</t>
  </si>
  <si>
    <t>iztočna cev</t>
  </si>
  <si>
    <t>stuprör</t>
  </si>
  <si>
    <t>nedløbsrør</t>
  </si>
  <si>
    <t>nedløpsrør</t>
  </si>
  <si>
    <t>odvodne cijevi</t>
  </si>
  <si>
    <t>Dachrinne 3 m</t>
  </si>
  <si>
    <t>aluminium gutter with protective film on the outside 3 m</t>
  </si>
  <si>
    <t>gouttière en aluminium avec film de protection (face extérieure) 3 m</t>
  </si>
  <si>
    <t>Canali di gronda in alluminio con pellicola protettiva lato esterno 3 m</t>
  </si>
  <si>
    <t>Hliníkový žlab s ochranou folií na vnější straně 3 m</t>
  </si>
  <si>
    <t>rynna z folią ochronną na zewnątrz 3 m</t>
  </si>
  <si>
    <t>alumínium függő ereszcsatorna külső védőfóliával 3 m</t>
  </si>
  <si>
    <t>hliníkový polkruhový žľab s ochrannou fóliou na vonkajšej strane 3 m</t>
  </si>
  <si>
    <t>aluminium dakgoot met beschermfolie buiten 3 m</t>
  </si>
  <si>
    <t>aluminajsti strešni žleb z zaščitno folino na zun. Strani 3 m</t>
  </si>
  <si>
    <t>takränna av aluminium med utvändig skyddsfolie 3 m</t>
  </si>
  <si>
    <t>aluminium tagrende med udvendig beskyttelsesfolie 3 m</t>
  </si>
  <si>
    <t>takrenne i aluminium med utvendig beskyttelsesfolie 3 m</t>
  </si>
  <si>
    <t>aluminijski krovni žlijeb sa zaštitnom folijom izvana 3 m</t>
  </si>
  <si>
    <t>Dachrinne 6 m</t>
  </si>
  <si>
    <t>aluminium gutter with protective film on the outside 6 m</t>
  </si>
  <si>
    <t>gouttière en aluminium avec film de protection (face extérieure) 6 m</t>
  </si>
  <si>
    <t>Canali di gronda in alluminio con pellicola protettiva lato esterno 6 m</t>
  </si>
  <si>
    <t>Hliníkový žlab s ochranou folií na vnější straně 6 m</t>
  </si>
  <si>
    <t>rynna z folią ochronną na zewnątrz 6 m</t>
  </si>
  <si>
    <t>alumínium függő ereszcsatorna külső védőfóliával 6 m</t>
  </si>
  <si>
    <t>hliníkový polkruhový žľab s ochrannou fóliou na vonkajšej strane  6 m</t>
  </si>
  <si>
    <t>aluminium dakgoot met beschermfolie buiten 6 m</t>
  </si>
  <si>
    <t>aluminajsti strešni žleb z zaščitno folino na zun. Strani 6 m</t>
  </si>
  <si>
    <t>takränna av aluminium med utvändig skyddsfolie 6 m</t>
  </si>
  <si>
    <t>aluminium tagrende med udvendig beskyttelsesfolie 6 m</t>
  </si>
  <si>
    <t>takrenne i aluminium med utvendig beskyttelsesfolie 6 m</t>
  </si>
  <si>
    <t>aluminijski krovni žlijeb sa zaštitnom folijom izvana 6 m</t>
  </si>
  <si>
    <t>Kastenrinne 3 m</t>
  </si>
  <si>
    <t>aluminium box gutter 3 m</t>
  </si>
  <si>
    <t>gouttière carrée en aluminium 3 m</t>
  </si>
  <si>
    <t>Canale quadro di gronda in alluminio 3 m</t>
  </si>
  <si>
    <t>Hliníkový žlab hranatý 3 m</t>
  </si>
  <si>
    <t>Rynna kwadratowa ? 3 m</t>
  </si>
  <si>
    <t>alumínium négyszögszelvényű ereszcsatorna 3 m</t>
  </si>
  <si>
    <t>hliníkový hranatý žľab 3 m</t>
  </si>
  <si>
    <t>aluminium bakgoot 3 m</t>
  </si>
  <si>
    <t>pravokotni žleb 3 m</t>
  </si>
  <si>
    <t>lådränna av aluminium 3 m</t>
  </si>
  <si>
    <t>aluminiumskasserende 3 m</t>
  </si>
  <si>
    <t>firkantrenne i aluminium 3 m</t>
  </si>
  <si>
    <t>aluminijski sandučasti žlijeb 3 m</t>
  </si>
  <si>
    <t>Kastenrinne 6 m</t>
  </si>
  <si>
    <t>aluminium box gutter  6 m</t>
  </si>
  <si>
    <t>gouttière carrée en aluminium 6 m</t>
  </si>
  <si>
    <t>Canale quadro di gronda in alluminio 6 m</t>
  </si>
  <si>
    <t>Hliníkový žlab hranatý 6 m</t>
  </si>
  <si>
    <t>Rynna kwadratowa ? 6 m</t>
  </si>
  <si>
    <t>alumínium négyszögszelvényű ereszcsatorna 6 m</t>
  </si>
  <si>
    <t>hliníkový hranatý žľab 6 m</t>
  </si>
  <si>
    <t>aluminium bakgoot 6 m</t>
  </si>
  <si>
    <t>pravokotni žleb 6 m</t>
  </si>
  <si>
    <t>lådränna av aluminium 6 m</t>
  </si>
  <si>
    <t>aluminiumskasserende 6 m</t>
  </si>
  <si>
    <t>firkantrenne i aluminium 6 m</t>
  </si>
  <si>
    <t>aluminijski sandučasti žlijeb 6 m</t>
  </si>
  <si>
    <t>Aluminium-Lötstäbe</t>
  </si>
  <si>
    <t>aluminium welding rods</t>
  </si>
  <si>
    <t>baguettes de soudure en aluminium</t>
  </si>
  <si>
    <t>Bacchette per la brasatura dell'alluminio</t>
  </si>
  <si>
    <t>Alu letovací tyčinky</t>
  </si>
  <si>
    <t>druty do spawania</t>
  </si>
  <si>
    <t>alumínium forrasztópáka</t>
  </si>
  <si>
    <t>tyče na spájkovanie hliníka</t>
  </si>
  <si>
    <t>aluminium-soldeerstaven</t>
  </si>
  <si>
    <t>aluminijaste palice za lotanje</t>
  </si>
  <si>
    <t>lödstavar av aluminium</t>
  </si>
  <si>
    <t>aluminiumsloddestænger</t>
  </si>
  <si>
    <t>aluminiumsloddebolter</t>
  </si>
  <si>
    <t>aluminijske šipke za lemljenje</t>
  </si>
  <si>
    <t>Blitzschutzklemme, blank</t>
  </si>
  <si>
    <t>lightning protection clamp</t>
  </si>
  <si>
    <t>agrafe parafoudre</t>
  </si>
  <si>
    <t>Morsetto per il collegamento al parafulmine</t>
  </si>
  <si>
    <t>Svorka bleskosvodu</t>
  </si>
  <si>
    <t>zacisk ochrony odgromowej</t>
  </si>
  <si>
    <t>villámhárító rögzítő csipesz</t>
  </si>
  <si>
    <t>prvok napojenia bleskozvodu</t>
  </si>
  <si>
    <t>bliksemafleiderklem</t>
  </si>
  <si>
    <t xml:space="preserve">nosilec strelovoda </t>
  </si>
  <si>
    <t>åskledarklämma</t>
  </si>
  <si>
    <t>lynbeskyttelsesklemme</t>
  </si>
  <si>
    <t>lynavlederklemme</t>
  </si>
  <si>
    <t>gromobranska spojnica</t>
  </si>
  <si>
    <t>Überbügel</t>
  </si>
  <si>
    <t>reinforcement hanger</t>
  </si>
  <si>
    <t>bride de renfort</t>
  </si>
  <si>
    <t>Tirante</t>
  </si>
  <si>
    <t>Zpevňující prvek žlabu</t>
  </si>
  <si>
    <t>wieszak zbrojeniowy</t>
  </si>
  <si>
    <t>merevítő elem</t>
  </si>
  <si>
    <t>prípravok na vŕtanie</t>
  </si>
  <si>
    <t>bovenbeugel</t>
  </si>
  <si>
    <t>överbygel</t>
  </si>
  <si>
    <t>overbøjle</t>
  </si>
  <si>
    <t>stagbånd</t>
  </si>
  <si>
    <t>prečka za aluminijski krovni žlijeb</t>
  </si>
  <si>
    <t>Dachlukendeckel</t>
  </si>
  <si>
    <t>roof hatch cover</t>
  </si>
  <si>
    <t>ouvrant de tabatière</t>
  </si>
  <si>
    <t>Passo uomo</t>
  </si>
  <si>
    <t>Poklop výlezového okna</t>
  </si>
  <si>
    <t>pokrywa wyłazu dachowego</t>
  </si>
  <si>
    <t>fedél tetőkibúvó ablakhoz</t>
  </si>
  <si>
    <t>kryt na povalové okno</t>
  </si>
  <si>
    <t>dakluikdeksel</t>
  </si>
  <si>
    <t>pokrov za zasilno strešno okno</t>
  </si>
  <si>
    <t>takluckskåpa</t>
  </si>
  <si>
    <t>taglugedæksel</t>
  </si>
  <si>
    <t>deksel for takluke</t>
  </si>
  <si>
    <t>poklopac za izlazni krovni prozor</t>
  </si>
  <si>
    <t>Dachlukendeckel mit Holzrahmen
(Innenmass 600x600mm)</t>
  </si>
  <si>
    <t>roof hatch cover with wooden frame (internal dimensions: 600 × 600 mm)</t>
  </si>
  <si>
    <t>ouvrant de tabatière avec cadre en bois (dimensions intérieures : 600 × 600 mm)</t>
  </si>
  <si>
    <t>Passo uomo con telaio in legno
(misura interna 600 x 600 mm)</t>
  </si>
  <si>
    <t>Výlezové okno včetně dřevěného rámu (vnitřní rozměr 600x600mm)</t>
  </si>
  <si>
    <t>pokrywa wyłazu dachowego z drewnianą ramą (wymiary wewnętrzne: 600 x 600 mm)</t>
  </si>
  <si>
    <t>tetőkibúvó ablak fa kerettel (belső méret 600x600mm)</t>
  </si>
  <si>
    <t>kryt na povalové okno s dreveným rámom
(vnútorný rozmer 600 x 600mm)</t>
  </si>
  <si>
    <t>dakluikdeksel met houten frame
(binnenmaat 600 x 600 mm)</t>
  </si>
  <si>
    <t>pokrov za zasilno strešno okno z lesenim okvirjem (notranja mera 600 x 600 mm)</t>
  </si>
  <si>
    <t>takluckskåpa med träram (invändigt mått 600 x 600 mm)</t>
  </si>
  <si>
    <t>taglugedæksel med træramme (indvendigt mål 600x600 mm)</t>
  </si>
  <si>
    <t>deksel for takluke med treramme
(innvendig mål 600x600 mm)</t>
  </si>
  <si>
    <t>poklopac za izlazni krovni prozor s drvenim okvirom
(unutarnja mjera 600x600mm)</t>
  </si>
  <si>
    <t>Dachlukendeckel
(Innenmass 600 x 600 mm)</t>
  </si>
  <si>
    <t>roof hatch cover (internal dimensions: 600 × 600 mm)</t>
  </si>
  <si>
    <t>ouvrant de tabatière (dimensions intérieures : 600 × 600 mm)</t>
  </si>
  <si>
    <t>Passo uomo
(misura interna 600 x 600 mm)</t>
  </si>
  <si>
    <t>Poklop výlezového okna (vnitřní rozměr 600 x 600 mm)</t>
  </si>
  <si>
    <t>pokrywa wyłazu dachu (wymiary wewnętrzne: 600 x 600 mm)</t>
  </si>
  <si>
    <t>fedél tetőkibúvó ablakhoz (belső méret 600x600mm)</t>
  </si>
  <si>
    <t>kryt na povalové okno
(vnútorný rozmer 600 x 600 mm)</t>
  </si>
  <si>
    <t>dakluikdeksel
(binnenmaat 600 x 600 mm)</t>
  </si>
  <si>
    <t>pokrov za zasilno strešno okno (notranja mera 600 x 600)</t>
  </si>
  <si>
    <t>takluckskåpa (invändigt mått 600 x 600 mm)</t>
  </si>
  <si>
    <t>taglugedæksel
(indvendigt mål 600 x 600 mm)</t>
  </si>
  <si>
    <t>deksel for takluke
(innvendig mål 600 x 600 mm)</t>
  </si>
  <si>
    <t>poklopac za izlazni krovni prozor
(unutarnja mjera 600 x 600 mm)</t>
  </si>
  <si>
    <t>Dachplatte R.16</t>
  </si>
  <si>
    <t>R.16 roof tile (700 × 420 mm)</t>
  </si>
  <si>
    <t>R.16 (700 × 420 mm)</t>
  </si>
  <si>
    <t>Tegola R.16 (700 x 420 mm)</t>
  </si>
  <si>
    <t>Střešní panel R.16 (700 x 420 mm)</t>
  </si>
  <si>
    <t>Dachówka R.16 (700 × 420 mm)</t>
  </si>
  <si>
    <t>R.16 tetőfedő elem (700x420mm)</t>
  </si>
  <si>
    <t>strešná škridla R.16 (700 x 420 mm)</t>
  </si>
  <si>
    <t>dakplaat R.16 (700 × 420 mm)</t>
  </si>
  <si>
    <t>strešna plošča R.16 (700 x 420 mm)</t>
  </si>
  <si>
    <t>takplatta R.16 (700 × 420 mm)</t>
  </si>
  <si>
    <t>tagplade R.16 (700 × 420 mm)</t>
  </si>
  <si>
    <t>takplate R.16 (700 × 420 mm)</t>
  </si>
  <si>
    <t>krovna ploča R.16 (700 × 420 mm)</t>
  </si>
  <si>
    <t>Dachraute 29x29</t>
  </si>
  <si>
    <t>rhomboid roof tile (29 × 29 mm, 120 pc./box)</t>
  </si>
  <si>
    <t>losange de toiture (29 × 29 mm, 120 par carton)</t>
  </si>
  <si>
    <t>Scaglia 29 (29x29 mm, 120 pz./cf.)</t>
  </si>
  <si>
    <t>Střešní šablona (29x29 mm, 120 ks./balení)</t>
  </si>
  <si>
    <t>Dachówka romb (29 × 29 mm, 120 szt./opak.)</t>
  </si>
  <si>
    <t>tetőfedő rombusz (29x29 mm, 120 db./doboz)</t>
  </si>
  <si>
    <t>strešná šablóna (29x29 mm, 120 ks/kart.)</t>
  </si>
  <si>
    <t>daklosange (29 × 29 mm, 120 stks./doos)</t>
  </si>
  <si>
    <t>strešni romb (290x290 mm, 120 kos/škatlo)</t>
  </si>
  <si>
    <t>takromb (29 × 29 mm, 120 st./kart.)</t>
  </si>
  <si>
    <t>rudeformet tagplade (29 × 29 mm, 120 stk./kart.)</t>
  </si>
  <si>
    <t>takstein (29 × 29 mm, 120 stk./kart.)</t>
  </si>
  <si>
    <t>krovni romb (29 × 29 mm, 120 kom./kut.)</t>
  </si>
  <si>
    <t>Dachraute 44x44</t>
  </si>
  <si>
    <t>rhomboid roof tile (440 × 440 mm, 42 pc./box)</t>
  </si>
  <si>
    <t>losange de toiture (440 × 440 mm, 42 par carton)</t>
  </si>
  <si>
    <t>Scaglia 44 (440 x 440 mm, 42 pz./cf.)</t>
  </si>
  <si>
    <t>Střešní šablona (440 x 440 mm, 42 ks./balení)</t>
  </si>
  <si>
    <t>Dachówka romb (440 × 440 mm, 42 szt./opak.)</t>
  </si>
  <si>
    <t>tetőfedő rombusz (440 x 440 mm, 42 db./doboz)</t>
  </si>
  <si>
    <t>strešná šablóna  (440 x 440 mm, 42 ks/kart.)</t>
  </si>
  <si>
    <t>daklosange (440 × 440 mm, 42 stks./doos)</t>
  </si>
  <si>
    <t>strešni romb (440 mm x 440 mm, 42 kos/škatlo)</t>
  </si>
  <si>
    <t>takromb (440 × 440 mm, 42 st./kart.)</t>
  </si>
  <si>
    <t>rudeformet tagplade (440 × 440 mm, 42 stk./kart.)</t>
  </si>
  <si>
    <t>takstein (440 × 440 mm, 42 stk./kart.)</t>
  </si>
  <si>
    <t>krovni romb (440 × 440 mm, 42 kom./kut.)</t>
  </si>
  <si>
    <t>DACHRINNENSYSTEME</t>
  </si>
  <si>
    <t>GUTTER SYSTEMS</t>
  </si>
  <si>
    <t>GOUTTIÈRES PREFA</t>
  </si>
  <si>
    <t>SISTEMA SMALTIMENTO ACQUE</t>
  </si>
  <si>
    <t>Odvodňovací systémy</t>
  </si>
  <si>
    <t>SYSTEM RYNNOWY</t>
  </si>
  <si>
    <t>ereszcsatorna rendszerek</t>
  </si>
  <si>
    <t>SYSTÉM ODVODNENIA STRIECH</t>
  </si>
  <si>
    <t>DAKGOOTSYSTEMEN</t>
  </si>
  <si>
    <t xml:space="preserve">žlebovi </t>
  </si>
  <si>
    <t>TAKAVVATTNING</t>
  </si>
  <si>
    <t>TAGRENDESYSTEMER</t>
  </si>
  <si>
    <t>TAKRENNESYSTEMER</t>
  </si>
  <si>
    <t>SUSTAVI KROVNIH ŽLJEBOVA</t>
  </si>
  <si>
    <t>Dachschindel</t>
  </si>
  <si>
    <t>shingle (420 × 240 mm)</t>
  </si>
  <si>
    <t>bardeau (420 × 240 mm)</t>
  </si>
  <si>
    <t>Scandola (420 x 240 mm)</t>
  </si>
  <si>
    <t>Falcovaný šindel (420 x 240 mm)</t>
  </si>
  <si>
    <t>Dachówka łupkowa(420 × 240 mm)</t>
  </si>
  <si>
    <t>tetőfedő zsindely (420 x 240 mm)</t>
  </si>
  <si>
    <t>strešný šindeľ (420 x 240 mm)</t>
  </si>
  <si>
    <t>dakschindel (420 x 240 mm)</t>
  </si>
  <si>
    <t>strešna skodla (420 x 240 mm)</t>
  </si>
  <si>
    <t>takshingel (420 x 240 mm)</t>
  </si>
  <si>
    <t>tagspån (420 x 240 mm)</t>
  </si>
  <si>
    <t>takshingel (420 × 240 mm)</t>
  </si>
  <si>
    <t>krovna šindra (420 x 240 mm)</t>
  </si>
  <si>
    <t>Dila</t>
  </si>
  <si>
    <t>expansion component</t>
  </si>
  <si>
    <t>joint de dilatation</t>
  </si>
  <si>
    <t>Elemento di dilatazione</t>
  </si>
  <si>
    <t>Dilatace</t>
  </si>
  <si>
    <t>Dylatacja rynny</t>
  </si>
  <si>
    <t>Dilatáció</t>
  </si>
  <si>
    <t>dilatačný prvok</t>
  </si>
  <si>
    <t>dila</t>
  </si>
  <si>
    <t>expanderingsskarv</t>
  </si>
  <si>
    <t>udvidelse</t>
  </si>
  <si>
    <t>skjøtestykke</t>
  </si>
  <si>
    <t>dilatacija</t>
  </si>
  <si>
    <t>Sicherheitsdachhaken nach EN 517 B, SDH-Industry 31</t>
  </si>
  <si>
    <t>single anchor point according to EN 795, class A (tray length up to 650)</t>
  </si>
  <si>
    <t>point d’ancrage unique selon la norme EN 795, classe A (jusqu’à une longueur de bac de 650)</t>
  </si>
  <si>
    <t>EAP anticaduta conforme EN 795 classe A (per larghezza lastre fino a 650mm)</t>
  </si>
  <si>
    <t>EAP dle EN 795 třída A (šířka pásů do 650)</t>
  </si>
  <si>
    <t>Punkt mocowań lin alpinistycznych (EAP) zgodny z normą EN 795, Klasa A (dla szerokości 650mm)</t>
  </si>
  <si>
    <t>rögzítési pont EN 795 szerint, A osztály (max. 650mm lemezsávszélesség)</t>
  </si>
  <si>
    <t>kotviaci bod podľa EN 795 triedy A (so šírkou 650)</t>
  </si>
  <si>
    <t>enkel aanslagpunt (EAP) conform EN 795, klasse A (tot strokenbreedte 650)</t>
  </si>
  <si>
    <t>EAP po EN 795 razred A (za širine trakov do 650 mm)</t>
  </si>
  <si>
    <t>separat anslagspunkt (SAP) enligt EN 795, klass A (upp till spårbredd 650)</t>
  </si>
  <si>
    <t>enkeltanslagspunkt (EAP) iht. EN 795, klasse A (op til banebredde 650)</t>
  </si>
  <si>
    <t>enkelt anslagspunkt (EAP) iht. EN 795, klasse A (til banebredde 650)</t>
  </si>
  <si>
    <t>pojedinačna sidrišna točka (EAP) prema EN 795, razred A (do širine trake 650)</t>
  </si>
  <si>
    <t>Eckverbinder für Rohr 28</t>
  </si>
  <si>
    <t>corner connector for pipe</t>
  </si>
  <si>
    <t>pièce d’assemblage d’angle pour tube PREFA</t>
  </si>
  <si>
    <t>Raccordo angolare per Tubo PREFA</t>
  </si>
  <si>
    <t xml:space="preserve">spojka trubky sněhové zábrany </t>
  </si>
  <si>
    <t>Narożne złącze Rury</t>
  </si>
  <si>
    <t>sarok összekötő elem hófogócsőhöz</t>
  </si>
  <si>
    <t>rohová spojka pre zvod</t>
  </si>
  <si>
    <t>hoekverbinding voor buis</t>
  </si>
  <si>
    <t>vogalni zaključek za cev</t>
  </si>
  <si>
    <t>kantanslutning för PREFA-rör</t>
  </si>
  <si>
    <t>hjørneforbinder til rør</t>
  </si>
  <si>
    <t>hjørnetilkobling for rør</t>
  </si>
  <si>
    <t>kutni spojni element za cijev</t>
  </si>
  <si>
    <t>Einfassungsplatte R.16/FX.12</t>
  </si>
  <si>
    <t>flashing plate for R.16 roof tile and FX.12, smooth, ⌀ 80–125 mm</t>
  </si>
  <si>
    <t>raccordement de ventilation pour R.16 et FX.12, lisse, ⌀ 80-125 mm</t>
  </si>
  <si>
    <t>Conversa per Tegola R.16 e FX.12, liscia, Ø 80 - 125 mm</t>
  </si>
  <si>
    <t>Prostup pro panely R.16 a FX.12, hladký, Ø 80 - 125 mm</t>
  </si>
  <si>
    <t>Element wentylacyjny dla Dachówka R.16 i FX.12, gładki, ⌀ 80–125 mm</t>
  </si>
  <si>
    <t>kivezető elem R.16 tetőfedő elemhez és FX.12 panelhez, sima, Ø 80 - 125 mm</t>
  </si>
  <si>
    <t>prestupový prvok pre strešnú škridlu R.16 a stešný panel FX.12, hladký, Ø 80 - 125 mm</t>
  </si>
  <si>
    <t>inwerkplaat voor dakplaat R.16 en FX.12, glad, ⌀ 80 – 125 mm</t>
  </si>
  <si>
    <t>prehodna plošča za strešno ploščo R.16 in FX.12, gladka, Ø 80-125 mm</t>
  </si>
  <si>
    <t>infattningsplatta för takplatta R.16 och FX.12, slät, ⌀ 80-125 mm</t>
  </si>
  <si>
    <t>indfatningsplade til tagplade R.16 og FX.12, glat, ⌀ 80–125 mm</t>
  </si>
  <si>
    <t>innfatningsplate for takplate R.16 og FX.12, glatt, ⌀ 80–125 mm</t>
  </si>
  <si>
    <t>otvor za ventilaciju za krovnu ploču R.16 i FX.12, glatko, ⌀ 80–125 mm</t>
  </si>
  <si>
    <t>Einfassungsplatte, für Dachraute 29x29</t>
  </si>
  <si>
    <t>flashing plate for rhomboid roof tile 29 × 29, smooth, ⌀ 80–125 mm</t>
  </si>
  <si>
    <t>raccordement de ventilation pour losanges de toiture 29 × 29, lisse, ⌀ 80-125 mm</t>
  </si>
  <si>
    <t>Conversa per Scaglia 29, liscia, Ø 80 - 125 mm</t>
  </si>
  <si>
    <t>Prostup pro Falcovanou šablonu 29x29, hladký, Ø 80 - 125 mm</t>
  </si>
  <si>
    <t>Element wentylacyjny dla Dachówka romb 29 × 29, gładki, ⌀ 80–125 mm</t>
  </si>
  <si>
    <t>kivezető elem 29x29 tetőfedő rombuszhoz, sima, Ø 80 - 125 mm</t>
  </si>
  <si>
    <t>prestupový prvok pre strešnú šablónu 29x29, hladký, Ø 80 - 125 mm</t>
  </si>
  <si>
    <t>inwerkplaat voor daklosange 29 × 29, glad, ⌀ 80 – 125 mm</t>
  </si>
  <si>
    <t>prehodna plošča za strešni romb 29x29, gladka, Ø80 - 125 mm</t>
  </si>
  <si>
    <t>infattningsplatta för takromb 29 × 29, slät, ⌀ 80-125 mm</t>
  </si>
  <si>
    <t>indfatningsplade til rudeformet tagplade 29 × 29, glat, ⌀ 80–125 mm</t>
  </si>
  <si>
    <t>innfatningsplate for takstein 29 × 29, glatt, ⌀ 80–125 mm</t>
  </si>
  <si>
    <t>otvor za ventilaciju za krovni romb 29 × 29, glatko, ⌀ 80–125 mm</t>
  </si>
  <si>
    <t>Einfassungsplatte Dachraute 44x44</t>
  </si>
  <si>
    <t>flashing plate for rhomboid roof tile 44 × 44, smooth, ⌀ 80–125 mm</t>
  </si>
  <si>
    <t>raccordement de ventilation pour losanges de toiture 44 × 44, lisse, ⌀ 80-125 mm</t>
  </si>
  <si>
    <t>Conversa per Scaglia 44, liscia, Ø 80 - 125 mm</t>
  </si>
  <si>
    <t>Prostup pro Falcovanou šablonu 44x44, hladký Ø 80 - 125 mm</t>
  </si>
  <si>
    <t>Element wentylacyjny dla Dachówka romb 44 × 44, gładki, ⌀ 80–125 mm</t>
  </si>
  <si>
    <t>kivezető elem 44x44 tetőfedő rombuszhoz, sima, Ø 80 - 125 mm</t>
  </si>
  <si>
    <t>prestupový prvok pre strešnú šablónu 44x44, hladký, Ø 80 - 125 mm</t>
  </si>
  <si>
    <t>inwerkplaat voor daklosange 44 × 44, glad, ⌀ 80 – 125 mm</t>
  </si>
  <si>
    <t>prehodna plošča za strešni romb 44x44, gladka, Ø80-125</t>
  </si>
  <si>
    <t>infattningsplatta för takromb 44 × 44, slät, ⌀ 80-125 mm</t>
  </si>
  <si>
    <t>indfatningsplade til rudeformet tagplade 44 × 44, glat, ⌀ 80–125 mm</t>
  </si>
  <si>
    <t>innfatningsplate for takstein 44 × 44, glatt, ⌀ 80–125 mm</t>
  </si>
  <si>
    <t>otvor za ventilaciju za krovni romb 44 × 44, glatko, ⌀ 80–125 mm</t>
  </si>
  <si>
    <t>Einfassungsplatte für Dachschindel</t>
  </si>
  <si>
    <t>flashing plate for shingle</t>
  </si>
  <si>
    <t>Raccordement de ventilation pour bardeaux</t>
  </si>
  <si>
    <t>Conversa per Scandola, liscia, Ø 80 - 125 mm</t>
  </si>
  <si>
    <t>Prostup pro falcovaný šindel</t>
  </si>
  <si>
    <t>Element wentylacyjny dla Dachówka łupkowa</t>
  </si>
  <si>
    <t>kivezető elem tetőfedő zsindelyhez</t>
  </si>
  <si>
    <t>prestupový prvok pre strešný šindeľ</t>
  </si>
  <si>
    <t>inwerkplaat voor dakschindel</t>
  </si>
  <si>
    <t xml:space="preserve">prehodna plošča za strešno skodlo </t>
  </si>
  <si>
    <t>infattningsplatta för takshingel</t>
  </si>
  <si>
    <t>indfatningsplade til tagspån</t>
  </si>
  <si>
    <t>innfatningsplate for takshingel</t>
  </si>
  <si>
    <t>otvor za ventilaciju za krovnu šindru</t>
  </si>
  <si>
    <t>Einlaufblech 230 × 2.000 × 0,7 mm</t>
  </si>
  <si>
    <t>eaves apron strip (230 × 2,000 × 0.7 mm)</t>
  </si>
  <si>
    <t>solin de finition 230 × 2 000 × 0,7 mm</t>
  </si>
  <si>
    <t>Grondalina 230 x 2.000 x 0.7 mm</t>
  </si>
  <si>
    <t>Okapový plech pod folii 230 x 2.000 x 0.7 mm</t>
  </si>
  <si>
    <t>Okap? 230 × 2.000 × 0,7 mm</t>
  </si>
  <si>
    <t>cseppentő lemez 230 x 2.000 x 0.7 mm</t>
  </si>
  <si>
    <t>odkvapový plech 230 x 2.000 x 0.7 mm</t>
  </si>
  <si>
    <t>inloopplaat 230 × 2000 × 0,7 mm</t>
  </si>
  <si>
    <t>odkapna pločevina 230 x 2.000 x 0,7 mm</t>
  </si>
  <si>
    <t>avrinningsplåt 230 × 2.000 × 0,7 mm</t>
  </si>
  <si>
    <t>indløbsplade 230 × 2.000 × 0,7 mm</t>
  </si>
  <si>
    <t>avrenningsplate 230 × 2000 × 0,7 mm</t>
  </si>
  <si>
    <t>uljevni lim 230 × 2.000 × 0,7 mm</t>
  </si>
  <si>
    <t>Einlaufblech glatt</t>
  </si>
  <si>
    <t>eaves apron strip</t>
  </si>
  <si>
    <t>solin de finition, lisse</t>
  </si>
  <si>
    <t>Grondalina liscia</t>
  </si>
  <si>
    <t>Okapový plech hladký</t>
  </si>
  <si>
    <t>Okap ??gładki</t>
  </si>
  <si>
    <t>cseppentő lemez sima</t>
  </si>
  <si>
    <t>odkvapový plech hladký</t>
  </si>
  <si>
    <t>inloopplaat glad</t>
  </si>
  <si>
    <t>avrinningsplåt slät</t>
  </si>
  <si>
    <t>indløbsplade glat</t>
  </si>
  <si>
    <t>avrenningsplate glatt</t>
  </si>
  <si>
    <t>uljevni lim glatki</t>
  </si>
  <si>
    <t xml:space="preserve">Eisfänger für Rundrohr 28x2 </t>
  </si>
  <si>
    <t>ice stopper</t>
  </si>
  <si>
    <t>crochet à glace</t>
  </si>
  <si>
    <t>Rompighiaccio</t>
  </si>
  <si>
    <t xml:space="preserve">Zachytávač ledu </t>
  </si>
  <si>
    <t xml:space="preserve"> Łamacz lodu</t>
  </si>
  <si>
    <t>jégkarom</t>
  </si>
  <si>
    <t>ijsvanger</t>
  </si>
  <si>
    <t>isstoppare</t>
  </si>
  <si>
    <t>isfanger</t>
  </si>
  <si>
    <t>hvatač leda</t>
  </si>
  <si>
    <t>Endplatte f. Dachraute 44x44, inkl. Befestigung</t>
  </si>
  <si>
    <t>end plate (1.48 pc./m, 40 pc./box)</t>
  </si>
  <si>
    <t>demi-losange de fin (1,48 par mètre, 40 par carton)</t>
  </si>
  <si>
    <t>Scaglia 44 finale (1,48 pz./m, 40 pz./cf.)</t>
  </si>
  <si>
    <t>Ukončovací šablona (1,48 ks./bm, 40 ks./balení)</t>
  </si>
  <si>
    <t>Dachówka końcowa(1,48 szt./mb, 40 szt./opak.)</t>
  </si>
  <si>
    <t>végelem (1,48 db./fm, 40 db./doboz)</t>
  </si>
  <si>
    <t>ukončovací prvok (1,48 ks/bm, 40 ks/kart.)</t>
  </si>
  <si>
    <t>eindplaat (1,48 stks./m1, 40 stks./doos)</t>
  </si>
  <si>
    <t>zaključna plošča (1,48 kos/tm, 40 kos/škatlo)</t>
  </si>
  <si>
    <t>ändplatta (1,48 st./lpm, 40 st./kart.)</t>
  </si>
  <si>
    <t>endeplade (1,48 stk./lbm, 40 stk./kart.)</t>
  </si>
  <si>
    <t>endeplate (1,48 stk./lm, 40 stk./kart.)</t>
  </si>
  <si>
    <t>završna ploča (1,48 kom. / d/m, 40 kom./kut.)</t>
  </si>
  <si>
    <t>Endplatte f. Dachraute 29x29</t>
  </si>
  <si>
    <t>end plate (2.2 pc./m, 100 pc./box)</t>
  </si>
  <si>
    <t>demi-losange de fin (2,2 par mètre, 100 par carton)</t>
  </si>
  <si>
    <t>Scaglia 29 finale (2,2 pz./m, 100 pz./cf.)</t>
  </si>
  <si>
    <t>Ukončovací šablona (2,2 ks./bm, 100 ks./balení)</t>
  </si>
  <si>
    <t>Dachówka końcowa(2,2 szt./mb, 100 szt./opak.)</t>
  </si>
  <si>
    <t>végelem (2,2 db./fm, 100 db./doboz)</t>
  </si>
  <si>
    <t>ukončovací prvok (2,2 ks/bm, 100 ks/kart.)</t>
  </si>
  <si>
    <t>eindplaat (2,2 stks./m1, 100 stks./doos)</t>
  </si>
  <si>
    <t>zaključna plošča (2,2 kos/tm, 100 kos/škatlo)</t>
  </si>
  <si>
    <t>ändplatta (2,2 st./lpm, 100 st./kart.)</t>
  </si>
  <si>
    <t>endeplade (2,2 stk./lbm, 100 stk./kart.)</t>
  </si>
  <si>
    <t>endeplate (2,2 stk./lm, 100 stk./kart.)</t>
  </si>
  <si>
    <t>završna ploča (2,2 kom. / d/m, 100 kom./kut.)</t>
  </si>
  <si>
    <t>vent pipe (⌀ 100)</t>
  </si>
  <si>
    <t>tuyau de ventilation (⌀ 100)</t>
  </si>
  <si>
    <t>Torretta aerazione Ø 100</t>
  </si>
  <si>
    <t>Nástavec odvětrání Ø 100</t>
  </si>
  <si>
    <t>Rura wentylacyjna ⌀ 100</t>
  </si>
  <si>
    <t>szellőzőcső Ø 100</t>
  </si>
  <si>
    <t>odvetrávacia rúra Ø 100</t>
  </si>
  <si>
    <t>ventilatiebuis ⌀ 100</t>
  </si>
  <si>
    <t>prezračevalna cev Ø100</t>
  </si>
  <si>
    <t>ventilationsrör ⌀ 100</t>
  </si>
  <si>
    <t>udluftningsrør ⌀ 100</t>
  </si>
  <si>
    <t>ventilasjonsrør ⌀ 100</t>
  </si>
  <si>
    <t>odzračna cijev ⌀ 100</t>
  </si>
  <si>
    <t>vent pipe (⌀ 120)</t>
  </si>
  <si>
    <t>tuyau de ventilation (⌀ 120)</t>
  </si>
  <si>
    <t>Torretta aerazione Ø 120</t>
  </si>
  <si>
    <t>Nástavec odvětrání Ø 120</t>
  </si>
  <si>
    <t>Rura wentylacyjna ⌀ 120</t>
  </si>
  <si>
    <t>szellőzőcső Ø 120</t>
  </si>
  <si>
    <t>odvetrávacia rúra Ø 120</t>
  </si>
  <si>
    <t>ventilatiebuis ⌀ 120</t>
  </si>
  <si>
    <t>prezračevalna cev Ø120</t>
  </si>
  <si>
    <t>ventilationsrör ⌀ 120</t>
  </si>
  <si>
    <t>udluftningsrør ⌀ 120</t>
  </si>
  <si>
    <t>ventilasjonsrør ⌀ 120</t>
  </si>
  <si>
    <t>odzračna cijev ⌀ 120</t>
  </si>
  <si>
    <t>Falzgel in Kartusche</t>
  </si>
  <si>
    <t>sealing gel</t>
  </si>
  <si>
    <t>gel d’étanchéité pour agrafe</t>
  </si>
  <si>
    <t>żel uszczelniający</t>
  </si>
  <si>
    <t>falczselé</t>
  </si>
  <si>
    <t>drážkový gel</t>
  </si>
  <si>
    <t>felsgel</t>
  </si>
  <si>
    <t>falsgel</t>
  </si>
  <si>
    <t>falsegel</t>
  </si>
  <si>
    <t>gel za falcanje</t>
  </si>
  <si>
    <t>Froschmaulluke stucco für Dachschindel 420 x 240 mm</t>
  </si>
  <si>
    <t>frog-mouth vent, stucco, for shingles (420 × 240 mm); air intake section: approx. 30 cm²</t>
  </si>
  <si>
    <t>chatière pour bardeaux, stucco, pour bardeaux de 420 × 240 mm ; section d’aération : env. 30 cm²</t>
  </si>
  <si>
    <t>Bocchetta aerazione goffrata per Scandola 420 x 240 mm
Sezione di ventilazione ca. 30 cm²</t>
  </si>
  <si>
    <t>Odvětrávací haubna stucco pro Falcovaný šindel 420 x 240 mm
průřez odvětrání ca. 30 cm²</t>
  </si>
  <si>
    <t>Wywietrznik dla  Dachówka łupkowa 420 x 240 mm powierzchnia wentylacji ok. 30 cm²</t>
  </si>
  <si>
    <t>pontszellőző stukkó tetőfedő zsindelyhez 420 x 240 mm
szellőző keresztmetszet kb. 30 cm2</t>
  </si>
  <si>
    <t>odvetrávací šindeľ stucco 420 x 240 mm
vetrací otvor cca 30 cm²</t>
  </si>
  <si>
    <t>verluchtingskap met kikkerbekluik stucco voor dakschindel 420 x 240 mm
Ventilatiediameter ca. 30 cm²</t>
  </si>
  <si>
    <t>žabji zračnik stucco za strešno skodlo 420 x 240 mm, presek zračenja ca. 30cm2</t>
  </si>
  <si>
    <t>halvmåneformad kåpa stuckatur för takshingel 420 x 240 mm ventilationstvärsnitt cirka 30 cm²</t>
  </si>
  <si>
    <t>frømundsluge stucco til tagspån 420 x 240 mm
ventilationstværsnit ca. 30 cm²</t>
  </si>
  <si>
    <t>froskemunnsformet luke stucco for takshingel 420 x 240 mm
ventilasjonstverrsnitt ca. 30 cm²</t>
  </si>
  <si>
    <t>pojedinačni odzračnik stucco za krovnu šindru 420 x 240 mm
slobodni presjek cca. 30 cm²</t>
  </si>
  <si>
    <t>Froschmaullukenhaube zum Aufnieten</t>
  </si>
  <si>
    <t>frog-mouth vent cover, for riveting; air intake section: approx. 30 cm²</t>
  </si>
  <si>
    <t>chapeau de raccordement pour chatière, à riveter ; section d’aération : env. 30 cm²</t>
  </si>
  <si>
    <t>Bocchetta aerazione da rivettare, sezione di ventilazione ca. 30 cm²</t>
  </si>
  <si>
    <t>Froschmaulluken-Haube zum aufnieten, LÖSCHEN</t>
  </si>
  <si>
    <t>Pokrywa wywietrznika o pow. 30 cm²</t>
  </si>
  <si>
    <t>pontszellőző sapka, szellőző keresztmetszet kb. 30 cm2</t>
  </si>
  <si>
    <t>odvetrávacia tvarovka, upevnenie nitmi,  vetrací otvor cca 30 cm²</t>
  </si>
  <si>
    <t>verluchtingskap met kikkerbekluik voor vastnieten, ventilatiediameter ca. 30 cm²</t>
  </si>
  <si>
    <t>žabji zračnik za pritrjevanje s kovicami, presek zračevanja ca. 30 cm2</t>
  </si>
  <si>
    <t>halvmåneformad kåpa för nitning, ventilationstvärsnitt cirka 30 cm²</t>
  </si>
  <si>
    <t>frømundslugekappe til pånitning, ventilationstværsnit ca. 30 cm²</t>
  </si>
  <si>
    <t>froskemunnsformet luke klinkes fast, ventilasjonstverrsnitt ca. 30 cm²</t>
  </si>
  <si>
    <t>pojedinačna kapa-odzračnik za zakivanje, slobodni presjek cca. 30 cm²</t>
  </si>
  <si>
    <t>Paneel FX.12, klein, 700x420mm</t>
  </si>
  <si>
    <t>FX.12 roof panel, short (700 × 420 mm)</t>
  </si>
  <si>
    <t>panneau de toiture FX.12, court (700 × 420 mm)</t>
  </si>
  <si>
    <t>FX.12 piccolo (700 x 420 mm)</t>
  </si>
  <si>
    <t>FX.12 Střešní panel malý (700 x 420 mm)</t>
  </si>
  <si>
    <t>FX.12 Panel dachowy mały (700 × 420 mm)</t>
  </si>
  <si>
    <t>FX.12 tetőfedő panel rövid (700 x 420 mm)</t>
  </si>
  <si>
    <t>strešný panel FX.12 krátky (700 x 420 mm)</t>
  </si>
  <si>
    <t>FX.12 dakpaneel kort (700 × 420 mm)</t>
  </si>
  <si>
    <t>fx.12 strešni panel majhen (700 x 420 mm)</t>
  </si>
  <si>
    <t>FX.12 takpanel kort (700 × 420 mm)</t>
  </si>
  <si>
    <t>FX.12 tagpanel kort (700 × 420 mm)</t>
  </si>
  <si>
    <t>FX.12 takpanel kort (700 × 420 mm)</t>
  </si>
  <si>
    <t>krovni panel FX.12 kratki (700 × 420 mm)</t>
  </si>
  <si>
    <t>Paneel FX.12, groß, 1400x420mm</t>
  </si>
  <si>
    <t>FX.12 roof panel, long (1,400 × 420 mm)</t>
  </si>
  <si>
    <t>panneau de toiture FX.12, long (1 400 × 420 mm)</t>
  </si>
  <si>
    <t>FX.12 grande (1.400 x 420 mm)</t>
  </si>
  <si>
    <t>FX.12 Střešní panel velký (1.400 x 420 mm)</t>
  </si>
  <si>
    <t>FX.12 Panel dachowy duży (1.400 × 420 mm)</t>
  </si>
  <si>
    <t>FX.12 tetőfedő panel hosszú (1.400 x 420 mm)</t>
  </si>
  <si>
    <t>strešný panel FX.12 dlhý (1.400 x 420 mm)</t>
  </si>
  <si>
    <t>FX.12 dakpaneel lang (1400 × 420 mm)</t>
  </si>
  <si>
    <t>fx.12 strešni panel večji (1.400 x 420 mm)</t>
  </si>
  <si>
    <t>FX.12 takpanel lång (1.400 × 420 mm)</t>
  </si>
  <si>
    <t>FX.12 tagpanel langt (1.400 × 420 mm)</t>
  </si>
  <si>
    <t>FX.12 takpanel langt (1400 × 420 mm)</t>
  </si>
  <si>
    <t>krovni panel FX.12 dugi (1.400 × 420 mm)</t>
  </si>
  <si>
    <t>Gummidichtung DM100</t>
  </si>
  <si>
    <t>suitable for high-temperature and foul drainage pipe (nominal size 110 mm)</t>
  </si>
  <si>
    <t>joint en caoutchouc compatible tuyaux HT et canalisations souterraines (DN 110 mm)</t>
  </si>
  <si>
    <t>Guarnizione in gomma per raccordi al tubo HT/KG NW 110 mm</t>
  </si>
  <si>
    <t>Gumové těsnění pro zaústění do HT/KG DN 110 mm</t>
  </si>
  <si>
    <t>do rury wywiewnej kanalizacji  (średnica nominalna  110 mm)</t>
  </si>
  <si>
    <t>gumitömítés 110 mm-es PVC csőhöz</t>
  </si>
  <si>
    <t>gumové tesnenie sedí pre PVC DN 110 mm</t>
  </si>
  <si>
    <t>rubberdichting geschikt voor HT/KG (NW 110 mm)</t>
  </si>
  <si>
    <t>gumijasto tesnilo za HAT/KG NW 110 mm</t>
  </si>
  <si>
    <t>gummitätning lämplig för HT/KG (NV 110 mm)</t>
  </si>
  <si>
    <t>gummitætning passer til HT/KG (NW 110 mm)</t>
  </si>
  <si>
    <t>gummitetning passer til HT/KG (NW 110 mm)</t>
  </si>
  <si>
    <t>gumena brtva prikladna za HT/KG (DN 110 mm)</t>
  </si>
  <si>
    <t>Halteklemme, blank</t>
  </si>
  <si>
    <t>fastener</t>
  </si>
  <si>
    <t>clip de fixation</t>
  </si>
  <si>
    <t>Staffa di fissaggio</t>
  </si>
  <si>
    <t>Excentrický držák</t>
  </si>
  <si>
    <t>łącznik</t>
  </si>
  <si>
    <t>rögzítő elem</t>
  </si>
  <si>
    <t>montážna svorka</t>
  </si>
  <si>
    <t>bevestigingsklem</t>
  </si>
  <si>
    <t>ojačitveno streme za alu strešne žlebove</t>
  </si>
  <si>
    <t>Spårmutter</t>
  </si>
  <si>
    <t>holdeklemme</t>
  </si>
  <si>
    <t>festeklemme</t>
  </si>
  <si>
    <t>držač</t>
  </si>
  <si>
    <t>Rinnen-Dila mit Wulst und Blende</t>
  </si>
  <si>
    <t>hanging gutter expansion joint with bead and cover plate</t>
  </si>
  <si>
    <t>joint de dilatation avec boudin et cache (gouttière suspendue)</t>
  </si>
  <si>
    <t>Elemento di dilatazione per canale con ricciolo e scossalina</t>
  </si>
  <si>
    <t>Žlabová dilatace s návalkou a krytem gumy</t>
  </si>
  <si>
    <t xml:space="preserve">Rynna wisząca z połączeniem i kolanem z przykryciem </t>
  </si>
  <si>
    <t>függő ereszcsatorna dilatációs elem takaróelemmel</t>
  </si>
  <si>
    <t>dilatačný prvok polkruhového zľabu s návalkom a krytom</t>
  </si>
  <si>
    <t>hanggoot-Dila met rand en kap</t>
  </si>
  <si>
    <t>dilatacija za polokrogli žleb z zaslonko in zavitkom</t>
  </si>
  <si>
    <t>expanderingsskarv för hängränna med vulst och täckkåpebleck</t>
  </si>
  <si>
    <t>hængerendeudvidelse med vulst og blænde</t>
  </si>
  <si>
    <t>skjøtestykke for takrenne med vulst og dekkplate</t>
  </si>
  <si>
    <t>dilatacija visećeg žlijeba s obrubom i blendom</t>
  </si>
  <si>
    <t xml:space="preserve">Rinnen-Dila ohne Wulst und Blende    </t>
  </si>
  <si>
    <t>hanging gutter expansion joint without bead or cover plate</t>
  </si>
  <si>
    <t>joint de dilatation sans boudin ni cache (gouttière suspendue)</t>
  </si>
  <si>
    <t>Elemento di dilatazione per canale senza ricciolo e scossalina</t>
  </si>
  <si>
    <t>Žlabová dilatace bez návalky a krytu gumy</t>
  </si>
  <si>
    <t>Rynna wisząca z połączeniem bez kolana z przykryciem</t>
  </si>
  <si>
    <t>függő ereszcsatorna dilatációs elem takaróelem nélkül</t>
  </si>
  <si>
    <t>dilatačný prvok polkruhového zľabu bez návalku a krytu</t>
  </si>
  <si>
    <t>hanggoot-Dila zonder rand en kap</t>
  </si>
  <si>
    <t>dilatacija za polokrogli žleb brez zaslonke in zavitka</t>
  </si>
  <si>
    <t>expanderingsskarv för hängränna utan vulst och täckkåpebleck</t>
  </si>
  <si>
    <t>hængerendeudvidelse uden vulst og blænde</t>
  </si>
  <si>
    <t>skjøtestykke for takrenne uten vulst og dekkplate</t>
  </si>
  <si>
    <t>dilatacija visećeg žlijeba bez obruba i blende</t>
  </si>
  <si>
    <t>Holzrahmen
(Innenmass 600 x 600 mm)</t>
  </si>
  <si>
    <t>wooden frame (internal dimensions: 600 × 600 mm)</t>
  </si>
  <si>
    <t>cadre en bois (dimensions intérieures : 600 × 600 mm)</t>
  </si>
  <si>
    <t>Telaio in legno
(misura interna 600 x 600 mm)</t>
  </si>
  <si>
    <t>Dřevěný rám (vnitřní rozměr 600 x 600 mm)</t>
  </si>
  <si>
    <t>rama drewniana (wymiary wew. 600 x 600 mm)</t>
  </si>
  <si>
    <t>fakeret
(belső méret 600 x 600 mm)</t>
  </si>
  <si>
    <t>drevený rám
(vnútorný rozmer 600 x 600 mm)</t>
  </si>
  <si>
    <t>houten frame
(binnenmaat 600 x 600 mm)</t>
  </si>
  <si>
    <t>leseni okvir za zasilno strešno okno (notranja mera 600 x 600 mm)</t>
  </si>
  <si>
    <t>träram (invändigt mått 600 x 600 mm)</t>
  </si>
  <si>
    <t>træramme
(indvendigt mål 600 x 600 mm)</t>
  </si>
  <si>
    <t>treramme
(innvendig mål 600 x 600 mm)</t>
  </si>
  <si>
    <t>drveni okvir
(unutarnja mjera 600 x 600 mm)</t>
  </si>
  <si>
    <t>Hydrolack</t>
  </si>
  <si>
    <t>water-based paint</t>
  </si>
  <si>
    <t>peinture aqueuse</t>
  </si>
  <si>
    <t>Hydrolack_IT</t>
  </si>
  <si>
    <t>Farba na bazie wody</t>
  </si>
  <si>
    <t>Hydrolakk</t>
  </si>
  <si>
    <t>hydrolak</t>
  </si>
  <si>
    <t>lak za popravilo poškodb</t>
  </si>
  <si>
    <t>hydrolack</t>
  </si>
  <si>
    <t>hydrolakk</t>
  </si>
  <si>
    <t>vodeni lak</t>
  </si>
  <si>
    <t>Kastenrinnen-Dila mit Wulst und Blende</t>
  </si>
  <si>
    <t>box gutter expansion joint with bead and cover plate</t>
  </si>
  <si>
    <t>joint de dilatation avec boudin et cache (gouttière carrée)</t>
  </si>
  <si>
    <t>Elemento di dilatazione per canale quadro con ricciolo e scossalina</t>
  </si>
  <si>
    <t>Žlabová dilatace hranatá s návalkou a krytem gumy</t>
  </si>
  <si>
    <t>Dylatacja rynny prostokątnej z wałkiem i przysłoną</t>
  </si>
  <si>
    <t>négyszögszelvényű ereszcsatorna dilatációs elem takaróelemmel</t>
  </si>
  <si>
    <t>dilatačný prvok hranatého zľabu s návalkom a krytom</t>
  </si>
  <si>
    <t>bakgoot-Dila met rand en kap</t>
  </si>
  <si>
    <t>dilatacija za pravokotni žleb z zavitkom in zaslonko</t>
  </si>
  <si>
    <t>expanderingsskarv för lådränna med vulst och täckkåpebleck</t>
  </si>
  <si>
    <t>kasserendeudvidelse med vulst og blænde</t>
  </si>
  <si>
    <t>skjøtestykke for firkantrenne med vulst og dekkplate</t>
  </si>
  <si>
    <t>dilatacija sandučastog žlijeba s obrubom i blendom</t>
  </si>
  <si>
    <t>Kastenrinnen-Dila ohne Wulst und Blende</t>
  </si>
  <si>
    <t>box gutter expansion joint without bead or cover plate</t>
  </si>
  <si>
    <t>joint de dilatation sans boudin ni cache (gouttière carrée)</t>
  </si>
  <si>
    <t>Elemento di dilatazione per canale quadro senza ricciolo e scossalina</t>
  </si>
  <si>
    <t>négyszögszelvényű ereszcsatorna dilatációs elem takaróelem nélkül</t>
  </si>
  <si>
    <t>dilatačný prvok hranatého zľabu bez návalku a krytu</t>
  </si>
  <si>
    <t>bakgoot-Dila zonder rand en kap</t>
  </si>
  <si>
    <t>dilatacija za pravokotni žleb brez zavitka in zaslonke</t>
  </si>
  <si>
    <t>expanderingsskarv för lådränna utan vulst och täckkåpebleck</t>
  </si>
  <si>
    <t>kasserendeudvidelse uden vulst og blænde</t>
  </si>
  <si>
    <t>skjøtestykke for firkantrenne uten vulst og dekkplate</t>
  </si>
  <si>
    <t>dilatacija sandučastog žlijeba bez obruba i blende</t>
  </si>
  <si>
    <t xml:space="preserve">Kastenrinnen-Endboden </t>
  </si>
  <si>
    <t>box gutter end cap</t>
  </si>
  <si>
    <t>fond de gouttière carrée</t>
  </si>
  <si>
    <t>Testata per canale quadro</t>
  </si>
  <si>
    <t>Čelo žlabu pro hranaté žlaby</t>
  </si>
  <si>
    <t>Denko rynny</t>
  </si>
  <si>
    <t>négyszögszelvényű ereszcsatorna végelem</t>
  </si>
  <si>
    <t>čelo hranatého zľabu</t>
  </si>
  <si>
    <t>bakgootbodem</t>
  </si>
  <si>
    <t>zapora za pravokotni žleb</t>
  </si>
  <si>
    <t>lådrännegavel</t>
  </si>
  <si>
    <t>kasserendeendebund</t>
  </si>
  <si>
    <t>endebunn firkantrenne</t>
  </si>
  <si>
    <t>čelo sandučastog žlijeba</t>
  </si>
  <si>
    <t>Kastenrinnenkessel</t>
  </si>
  <si>
    <t>box gutter outlet</t>
  </si>
  <si>
    <t>naissance de gouttière carrée</t>
  </si>
  <si>
    <t>Bocchetta di scarico per canale quadro</t>
  </si>
  <si>
    <t>Hranatý kotlík</t>
  </si>
  <si>
    <t>Wylot rynny prostokątnej</t>
  </si>
  <si>
    <t>négyszögszelvényű ereszcsatorna betorkoló elem</t>
  </si>
  <si>
    <t>kotlík hranatého zľabu</t>
  </si>
  <si>
    <t>bakgootvergaarbak</t>
  </si>
  <si>
    <t xml:space="preserve">kotliček za pravokotni žleb </t>
  </si>
  <si>
    <t>omvikningskupa rektangulär lådränna till runda rör</t>
  </si>
  <si>
    <t>kasserendefordybning</t>
  </si>
  <si>
    <t>tappstykke for firkantrenne</t>
  </si>
  <si>
    <t>kotlić sandučastog žlijeba</t>
  </si>
  <si>
    <t>Kastenrinnenwinkel, außen</t>
  </si>
  <si>
    <t>external box gutter mitre 90°</t>
  </si>
  <si>
    <t>équerre de gouttière carrée, angle sortant 90°</t>
  </si>
  <si>
    <t>Angolo esterno 90° per canale quadro</t>
  </si>
  <si>
    <t>Roh hranatého žlabu vnější 90°</t>
  </si>
  <si>
    <t>Narożnik rynny prostokątnej zew. 90°</t>
  </si>
  <si>
    <t>négyszögszelvényű ereszcsatorna külső szeglet 90°</t>
  </si>
  <si>
    <t>roh hranatého žľabu vonkajší 90°</t>
  </si>
  <si>
    <t>bakgoothoek buiten 90°</t>
  </si>
  <si>
    <t>vogalnik za pravokotni žleb, zunanji 90o</t>
  </si>
  <si>
    <t>lådränna utvändig vinkel 90°</t>
  </si>
  <si>
    <t>kasserendevinkel udvendig 90°</t>
  </si>
  <si>
    <t>firkantrennevinkel utvendig 90°</t>
  </si>
  <si>
    <t>kutni element sandučastog žlijeba vanjski 90°</t>
  </si>
  <si>
    <t>Kastenrinnenwinkel, innen</t>
  </si>
  <si>
    <t>internal box gutter mitre 90°</t>
  </si>
  <si>
    <t>équerre de gouttière carrée, angle rentant 90°</t>
  </si>
  <si>
    <t>Angolo interno 90° per canale quadro</t>
  </si>
  <si>
    <t>Roh hranatého žlabu vnitřní 90°</t>
  </si>
  <si>
    <t>Narożnik rynny prostokątnej wew. 90°</t>
  </si>
  <si>
    <t>négyszögszelvényű ereszcsatorna belső szeglet 90°</t>
  </si>
  <si>
    <t>roh hranatého žľabu vnútorný 90°</t>
  </si>
  <si>
    <t>bakgoothoek binnen 90°</t>
  </si>
  <si>
    <t>vogalnik za pravokotni žleb, notranji 90o</t>
  </si>
  <si>
    <t>lådränna invändig vinkel 90°</t>
  </si>
  <si>
    <t>kasserendevinkel indvendig 90°</t>
  </si>
  <si>
    <t>firkantrennevinkel innvendig 90°</t>
  </si>
  <si>
    <t>kutni element sandučastog žlijeba unutarnji 90°</t>
  </si>
  <si>
    <t>Klebeeinfassung DM 120-170mm</t>
  </si>
  <si>
    <t>adhesive flashing strip for standing seam roofs (⌀ 120–170 mm)</t>
  </si>
  <si>
    <t>raccordement de ventilation à coller pour toitures à joints debout, ⌀ 120-170 mm</t>
  </si>
  <si>
    <t>Conversa per torretta aerazione, da incollare, per coperture aggraffate Ø 120-170 mm</t>
  </si>
  <si>
    <t>Nalepovací prostup pro falcované střechy Ø 120-170 mm</t>
  </si>
  <si>
    <t>Uchwyt przeklejany do dachów na rąbek stojący ⌀ 120–170 mm</t>
  </si>
  <si>
    <t>átvezető elem korcolt fedéshez ragasztós Ø 120-170 mm</t>
  </si>
  <si>
    <t>nalepovací prestupový prvok pre falcované strechy Ø 120-170 mm</t>
  </si>
  <si>
    <t>hechtingomlijsting voor felsdaken ⌀ 120 – 170 mm</t>
  </si>
  <si>
    <t>obroba za lepljenje za zgibne strehe Ø120-170</t>
  </si>
  <si>
    <t>liminfattning för falsade tak ⌀ 120-170 mm</t>
  </si>
  <si>
    <t>klæbeindfatning til falstage ⌀ 120–170 mm</t>
  </si>
  <si>
    <t>limt innfatning for falsede tak ⌀ 120–170 mm</t>
  </si>
  <si>
    <t>otvor za ventilaciju za lijepljenje na falcane krovove ⌀ 120–170 mm</t>
  </si>
  <si>
    <t>Klebeeinfassung DM 170-210mm</t>
  </si>
  <si>
    <t>adhesive flashing strip for standing seam roofs (⌀ 170–210 mm)</t>
  </si>
  <si>
    <t>raccordement de ventilation à coller pour toitures à joints debout, ⌀ 170-210 mm</t>
  </si>
  <si>
    <t>Conversa per torretta aerazione, da incollare, per coperture aggraffate Ø 170-210 mm</t>
  </si>
  <si>
    <t>Nalepovací prostup pro falcované střechy Ø 170-210 mm</t>
  </si>
  <si>
    <t>Uchwyt przeklejany do dachów na rąbek stojący ⌀ 170–210 mm</t>
  </si>
  <si>
    <t>átvezető elem korcolt fedéshez ragasztós Ø 170-210 mm</t>
  </si>
  <si>
    <t>nalepovací prestupový prvok pre falcované strechy Ø 170-210 mm</t>
  </si>
  <si>
    <t>hechtingomlijsting voor felsdaken ⌀ 170 – 210 mm</t>
  </si>
  <si>
    <t>obroba za lepljenje za zgibne strehe Ø170-210</t>
  </si>
  <si>
    <t>liminfattning för falsade tak ⌀ 170-210 mm</t>
  </si>
  <si>
    <t>klæbeindfatning til falstage ⌀ 170-210 mm</t>
  </si>
  <si>
    <t>limt innfatning for falsede tak ⌀ 170-210 mm</t>
  </si>
  <si>
    <t>otvor za ventilaciju za lijepljenje na falcane krovove ⌀ 170–210 mm</t>
  </si>
  <si>
    <t xml:space="preserve">Klebeeinfassung DM 50-65mm </t>
  </si>
  <si>
    <t>adhesive flashing strip for standing seam roofs (⌀ 50–65 mm)</t>
  </si>
  <si>
    <t>raccordement de ventilation à coller pour toitures à joints debout, ⌀ 50-65 mm</t>
  </si>
  <si>
    <t>Conversa per torretta aerazione, da incollare, per coperture aggraffate Ø 50-65 mm</t>
  </si>
  <si>
    <t>Nalepovací prostup pro falcované střechy Ø 50-65 mm</t>
  </si>
  <si>
    <t>Uchwyt przeklejany do dachów na rąbek stojący ⌀ 50–65 mm</t>
  </si>
  <si>
    <t>átvezető elem korcolt fedéshez ragasztós Ø 50-65 mm</t>
  </si>
  <si>
    <t>nalepovací prestupový prvok pre falcované strechy Ø 50-65 mm</t>
  </si>
  <si>
    <t>hechtingomlijsting voor felsdaken ⌀ 50 – 65 mm</t>
  </si>
  <si>
    <t>obroba za lepljenje za zgibne strehe Ø50-65</t>
  </si>
  <si>
    <t>liminfattning för falsade tak ⌀ 50-65 mm</t>
  </si>
  <si>
    <t>klæbeindfatning til falstage ⌀ 50-65 mm</t>
  </si>
  <si>
    <t>limt innfatning for falsede tak ⌀ 50-65 mm</t>
  </si>
  <si>
    <t>otvor za ventilaciju za lijepljenje na falcane krovove ⌀ 50–65 mm</t>
  </si>
  <si>
    <t>Klebeeinfassung DM 80-125mm</t>
  </si>
  <si>
    <t>adhesive flashing strip for standing seam roofs (⌀ 80–125 mm)</t>
  </si>
  <si>
    <t>raccordement de ventilation à coller pour toitures à joints debout, ⌀ 80-125 mm</t>
  </si>
  <si>
    <t>Conversa per torretta aerazione, da incollare, per coperture aggraffate Ø 80-125 mm</t>
  </si>
  <si>
    <t>Nalepovací prostup pro falcované střechy Ø 80-125 mm</t>
  </si>
  <si>
    <t>Uchwyt przeklejany do dachów na rąbek stojący ⌀ 80–125 mm</t>
  </si>
  <si>
    <t>átvezető elem korcolt fedéshez ragasztós Ø 80-125 mm</t>
  </si>
  <si>
    <t>nalepovací prestupový prvok pre falcované strechy Ø 80-125 mm</t>
  </si>
  <si>
    <t>hechtingomlijsting voor felsdaken ⌀ 80 – 125 mm</t>
  </si>
  <si>
    <t>obroba za lepljenje za zgibne strehe Ø80-125</t>
  </si>
  <si>
    <t>liminfattning för falsade tak ⌀ 80-125 mm</t>
  </si>
  <si>
    <t>klæbeindfatning til falstage ⌀ 80-125 mm</t>
  </si>
  <si>
    <t>limt innfatning for falsede tak ⌀ 80-125 mm</t>
  </si>
  <si>
    <t>otvor za ventilaciju za lijepljenje na falcane krovove ⌀ 80–125 mm</t>
  </si>
  <si>
    <t>Kugelendboden</t>
  </si>
  <si>
    <t>radius end cap</t>
  </si>
  <si>
    <t>fond de gouttière arrondi</t>
  </si>
  <si>
    <t>Testata sferica</t>
  </si>
  <si>
    <t>Kulaté čelo žlabu</t>
  </si>
  <si>
    <t>Denko rynny kulowe</t>
  </si>
  <si>
    <t>gömbölyített ereszcsatorna végelem</t>
  </si>
  <si>
    <t>guľaté čelo žľabu</t>
  </si>
  <si>
    <t>kogeleindebodem</t>
  </si>
  <si>
    <t>žlebna zapora krogla</t>
  </si>
  <si>
    <t>kuländgavel</t>
  </si>
  <si>
    <t>kugleendebund</t>
  </si>
  <si>
    <t>rund endebunn</t>
  </si>
  <si>
    <t>kuglasto čelo</t>
  </si>
  <si>
    <t>Laubfänger</t>
  </si>
  <si>
    <t>strainer (brown only)</t>
  </si>
  <si>
    <t>crapaudine (en brun uniquement)</t>
  </si>
  <si>
    <t>Cipolla fermafoglie (disponibile solo in marrone)</t>
  </si>
  <si>
    <t>Lapač listí (pouze v hnědé barvě)</t>
  </si>
  <si>
    <t>Sito (tylko brązowe)</t>
  </si>
  <si>
    <t>lombkosár (csak barna)</t>
  </si>
  <si>
    <t>lapač lístia (iba hnedý)</t>
  </si>
  <si>
    <t>bladvanger (alleen in bruin)</t>
  </si>
  <si>
    <t>lovilec listja (samo v rjavi barvi)</t>
  </si>
  <si>
    <t>lövfångare (endast i brunt)</t>
  </si>
  <si>
    <t>løvfanger (kun i brun)</t>
  </si>
  <si>
    <t>løvfanger (kun i brunt)</t>
  </si>
  <si>
    <t>hvatač lišća (samo u smeđoj boji)</t>
  </si>
  <si>
    <t>Laufstegstütze f. Stehfalz, inkl. Befestigung</t>
  </si>
  <si>
    <t>walkway support</t>
  </si>
  <si>
    <t>support de chemin de circulation (pour chemins de circulation)</t>
  </si>
  <si>
    <t>Wspornik ławy kominiarskiej do dachów na rąbek podwójny</t>
  </si>
  <si>
    <t>járórácstartó</t>
  </si>
  <si>
    <t>držiak strešnej lávky</t>
  </si>
  <si>
    <t>loopbrugsteun voor loopbruggen</t>
  </si>
  <si>
    <t>plattformsstöd för plattformar</t>
  </si>
  <si>
    <t>løbebrostøtte til løbebroer</t>
  </si>
  <si>
    <t>plattformstøtte for plattform</t>
  </si>
  <si>
    <t>nosač stepenice</t>
  </si>
  <si>
    <t>M10 Gewindedorn</t>
  </si>
  <si>
    <t>M10 thread pin</t>
  </si>
  <si>
    <t>goujon fileté M10</t>
  </si>
  <si>
    <t>Chiodo filettato M10</t>
  </si>
  <si>
    <t>Trn se závitem M10</t>
  </si>
  <si>
    <t>M10 Trzpień gwintowany</t>
  </si>
  <si>
    <t>M10 menetes szár</t>
  </si>
  <si>
    <t xml:space="preserve">tŕň so závitom M10 </t>
  </si>
  <si>
    <t>M10 schroefdraaddoorn</t>
  </si>
  <si>
    <t>M10 navojna konica</t>
  </si>
  <si>
    <t>M10 gängad dorn</t>
  </si>
  <si>
    <t>M10 gevinddorn</t>
  </si>
  <si>
    <t>M10 gjengestift</t>
  </si>
  <si>
    <t>trn s navojem M10</t>
  </si>
  <si>
    <t xml:space="preserve">Hosen-Stehfalzhafter, NIRO </t>
  </si>
  <si>
    <t>stainless steel fish tailed fixed clip</t>
  </si>
  <si>
    <t>patte inox fixe en V</t>
  </si>
  <si>
    <t>Graffetta a V, fissa, in acciaio inox</t>
  </si>
  <si>
    <t>Kalhotková příponka pevná, nerez</t>
  </si>
  <si>
    <t>NIRO Zaczep spodniowy ze stali nierdzewnej</t>
  </si>
  <si>
    <t>NIRO nadrághafter</t>
  </si>
  <si>
    <t>NIRO nohavicová pevná príponka</t>
  </si>
  <si>
    <t>NIRO V-klem</t>
  </si>
  <si>
    <t>hlačno sidro iz nerjavečega jekla</t>
  </si>
  <si>
    <t>NIRO gaffelfäste</t>
  </si>
  <si>
    <t>NIRO buksespænde</t>
  </si>
  <si>
    <t>RUSTFRITT STÅL gaffelfeste</t>
  </si>
  <si>
    <t>nehrđajući „V“ učvršćivač</t>
  </si>
  <si>
    <t>Hosen-Schiebehafter, NIRO</t>
  </si>
  <si>
    <t>stainless steel fish tailed sliding clip</t>
  </si>
  <si>
    <t>patte inox coulissante en V</t>
  </si>
  <si>
    <t>Graffetta a V, scorrevole, in acciaio inox</t>
  </si>
  <si>
    <t>Kalhotková příponka posuvná, nerez</t>
  </si>
  <si>
    <t>NIRO Zaczep spodniowy przesuwny ze stali nierdzewnej</t>
  </si>
  <si>
    <t>NIRO csúszó nadrághafter</t>
  </si>
  <si>
    <t>NIRO nohavicová posuvná príponka</t>
  </si>
  <si>
    <t>NIRO V-schuifklem</t>
  </si>
  <si>
    <t>pomično hlačno sidro iz nerjavečega jekla</t>
  </si>
  <si>
    <t>NIRO glidgaffelfäste</t>
  </si>
  <si>
    <t>NIRO bukseskydespænde</t>
  </si>
  <si>
    <t>RUSTFRITT STÅL gaffelformet glidefeste</t>
  </si>
  <si>
    <t>nehrđajući klizni „V“ učvršćivač</t>
  </si>
  <si>
    <t xml:space="preserve">Winkel-Langschiebhafter, NIRO </t>
  </si>
  <si>
    <t>stainless steel preformed long sliding clip; tray length up to 15 m</t>
  </si>
  <si>
    <t>patte longue coulissante inox, jusqu’à une longueur de bac de 15 m</t>
  </si>
  <si>
    <t>Graffetta scorrevole maggiorata, in acciaio inox, llunghezza lastre fino a 15m</t>
  </si>
  <si>
    <t>Posuvná příponka úhlová dlouhá do 15 m, nerez</t>
  </si>
  <si>
    <t>NIRO Zaczep kątowy przesuwny o zwiększonym zakresie ze stali nierdzewnej do 15 m</t>
  </si>
  <si>
    <t>NIRO hosszított csúszóhafter 15 m sarnihosszig</t>
  </si>
  <si>
    <t>NIRO uhlová posuvná dlhá príponka do 15 m</t>
  </si>
  <si>
    <t>Niro hoeklangsschuifhechting, schaarlengte tot 15 m</t>
  </si>
  <si>
    <t>pomično sidro (dolžina trakov do 15 m)</t>
  </si>
  <si>
    <t>NIRO glidfäste för lång stående vinkelfals, plåtlängd upp till 15 m</t>
  </si>
  <si>
    <t>Niro vinklet langt skydespænde skærlængde op til 15 m</t>
  </si>
  <si>
    <t>rustfritt stål langt vinkelformet glidefeste båndlengde inntil 15 m</t>
  </si>
  <si>
    <t>nehrđajući kutni dugi klizni učvršćivač, trake duljine 15 m</t>
  </si>
  <si>
    <t xml:space="preserve">Winkel-Schiebehafter, NIRO </t>
  </si>
  <si>
    <t>stainless steel preformed sliding clips; tray length up to 12 m</t>
  </si>
  <si>
    <t>patte coulissante standard inox, jusqu’à une longueur de bac de 12 m</t>
  </si>
  <si>
    <t>Graffetta scorrevole, in acciaio inox, lunghezza lastre fino a 12 m</t>
  </si>
  <si>
    <t>Posuvná příponka úhlová do 12 m, nerez</t>
  </si>
  <si>
    <t>NIRO Zaczep kątowy przesuwny ze stali nierdzewnej do 12 m</t>
  </si>
  <si>
    <t>NIRO csúszó hafter max. 12 m sarnihosszig</t>
  </si>
  <si>
    <t>NIRO uhlová posuvná dlhá príponka do 12 m</t>
  </si>
  <si>
    <t>Niro hoekschuifhechting, schaarlengte tot 12 m</t>
  </si>
  <si>
    <t>pomično sidro (dolžina trakov do 12 m)</t>
  </si>
  <si>
    <t>NIRO glidfäste för stående vinkelfals, plåtlängd upp till 12 m</t>
  </si>
  <si>
    <t>Niro vinklet skydespænde skærlængde op til 12 m</t>
  </si>
  <si>
    <t>rustfritt stål vinkelformet glidefeste båndlengde inntil 12 m</t>
  </si>
  <si>
    <t>nehrđajući kutni klizni učvršćivač, trake duljine 12 m</t>
  </si>
  <si>
    <t xml:space="preserve">Winkel-Stehfalzhafter, NIRO </t>
  </si>
  <si>
    <t>stainless steel preformed fixed clip</t>
  </si>
  <si>
    <t>patte inox fixe</t>
  </si>
  <si>
    <t>Graffetta fissa in acciaio inox</t>
  </si>
  <si>
    <t>Pevná příponka úhlová, nerez</t>
  </si>
  <si>
    <t>NIRO Zaczep kątowy stały ze stali nierdzewnej</t>
  </si>
  <si>
    <t>NIRO derékszögű állóhafter</t>
  </si>
  <si>
    <t>NIRO uhlová pevná príponka</t>
  </si>
  <si>
    <t>NIRO staande felshoekhechting</t>
  </si>
  <si>
    <t>fiksno sidro</t>
  </si>
  <si>
    <t>NIRO fäste för stående vinkelfals</t>
  </si>
  <si>
    <t>NIRO spænde til vinklet stående fals</t>
  </si>
  <si>
    <t>RUSTFRITT STÅL feste for vinkelstående fals</t>
  </si>
  <si>
    <t>nehrđajući učvršćivač za kutni stojeći falc</t>
  </si>
  <si>
    <t>Passschindel für Anschlüsse (840 × 240 mm)</t>
  </si>
  <si>
    <t>fitting shingle for connections (840 × 240 mm)</t>
  </si>
  <si>
    <t>bardeau de raccord (840 × 240 mm)</t>
  </si>
  <si>
    <t>Scandola XL per raccordi (840 x 240 mm)</t>
  </si>
  <si>
    <t>Falcovaný šindel pro napojení (840 x 240 mm)</t>
  </si>
  <si>
    <t>Dachówka Łupkowa długa do połączeń (840 × 240 mm)</t>
  </si>
  <si>
    <t>illesztőzsindely csatlakozások kialakításához (840 x 240 mm)</t>
  </si>
  <si>
    <t>pásový šindeľ pre spoje (840 x 240 mm)</t>
  </si>
  <si>
    <t>passchindel voor aansluitingen (840 × 240 mm)</t>
  </si>
  <si>
    <t>skodla za zaključke (840 x 240 mm)</t>
  </si>
  <si>
    <t>passhingel för anslutningar (840 × 240 mm)</t>
  </si>
  <si>
    <t>passpån til tilslutninger (840 × 240 mm)</t>
  </si>
  <si>
    <t>monteringsshingel for sammenføyninger (840 × 240 mm)</t>
  </si>
  <si>
    <t>šindra za prilagodbu za priključke (840 × 240 mm)</t>
  </si>
  <si>
    <t>Passschindel für Anschlüsse (245 x 262 mm)</t>
  </si>
  <si>
    <t>fitting shingle for connections (245 × 262 mm)</t>
  </si>
  <si>
    <t>bardeau de raccord (245 × 262 mm)</t>
  </si>
  <si>
    <t>Scandola XL per raccordi (245 × 262 mm)</t>
  </si>
  <si>
    <t>Falcovaný šindel pro napojení (245 × 262 mm)</t>
  </si>
  <si>
    <t>Dachówka Łupkowa długa do połączeń (245 × 262 mm)</t>
  </si>
  <si>
    <t>illesztőzsindely csatlakozások kialakításához (245 × 262 mm)</t>
  </si>
  <si>
    <t>pásový šindeľ pre spoje (245 × 262 mm)</t>
  </si>
  <si>
    <t>passchindel voor aansluitingen (245 × 262 mm)</t>
  </si>
  <si>
    <t>skodla za zaključke (245 × 262 mm)</t>
  </si>
  <si>
    <t>passhingel för anslutningar (245 × 262 mm)</t>
  </si>
  <si>
    <t>passpån til tilslutninger (245 × 262 mm)</t>
  </si>
  <si>
    <t>monteringsshingel for sammenføyninger (245 × 262 mm)</t>
  </si>
  <si>
    <t>šindra za prilagodbu za priključke (245 × 262 mm)</t>
  </si>
  <si>
    <t>patent rivet</t>
  </si>
  <si>
    <t>rivet breveté</t>
  </si>
  <si>
    <t>Rivetti</t>
  </si>
  <si>
    <t>Trhací nýt</t>
  </si>
  <si>
    <t>Nit patentowy</t>
  </si>
  <si>
    <t>patentszegecs</t>
  </si>
  <si>
    <t>trhací nit</t>
  </si>
  <si>
    <t>gepatenteerde klinknagels</t>
  </si>
  <si>
    <t>patentne kovice</t>
  </si>
  <si>
    <t>patenterade nitar</t>
  </si>
  <si>
    <t>patentnitte</t>
  </si>
  <si>
    <t>patentert nagle</t>
  </si>
  <si>
    <t>patentne zakovice</t>
  </si>
  <si>
    <t>Quadratrohr</t>
  </si>
  <si>
    <t>square downpipe</t>
  </si>
  <si>
    <t>tuyau de descente carré</t>
  </si>
  <si>
    <t>Pluviale quadro</t>
  </si>
  <si>
    <t>Hranatý svod</t>
  </si>
  <si>
    <t>Kwadratowa rura spustowa</t>
  </si>
  <si>
    <t>szögletes lefolyó</t>
  </si>
  <si>
    <t>štvorcový zvod</t>
  </si>
  <si>
    <t>vierkante buis</t>
  </si>
  <si>
    <t>pravokotna cev</t>
  </si>
  <si>
    <t>kvadratrör</t>
  </si>
  <si>
    <t>kvadratrør</t>
  </si>
  <si>
    <t>firkantrør</t>
  </si>
  <si>
    <t>kvadratna cijev</t>
  </si>
  <si>
    <t>Quadratrohr Kessel</t>
  </si>
  <si>
    <t>square downpipe outlet for box gutter</t>
  </si>
  <si>
    <t>naissance pour tuyau carré (gouttières carrées)</t>
  </si>
  <si>
    <t>Wylot rynny do rury kwadratowej</t>
  </si>
  <si>
    <t xml:space="preserve">szögletes betorkoló elem </t>
  </si>
  <si>
    <t>hranatý kotlík pre hranatý žľab</t>
  </si>
  <si>
    <t>vierkante buis-vangbak voor bakgoot</t>
  </si>
  <si>
    <t>žlebni izpust pravokotni</t>
  </si>
  <si>
    <t>kvadratrörskupa för lådränna</t>
  </si>
  <si>
    <t>kvadratrørsfordybning til kasserende</t>
  </si>
  <si>
    <t>firkantrørtappstykke for firkantrenne</t>
  </si>
  <si>
    <t>kotlić kvadratnog žlijeba</t>
  </si>
  <si>
    <t>Quadratrohr, mit Reinigungsöffnung</t>
  </si>
  <si>
    <t>square downpipe with access pipe</t>
  </si>
  <si>
    <t>tuyau carré avec ouverture de nettoyage</t>
  </si>
  <si>
    <t>Pluviale quadro con ispezione</t>
  </si>
  <si>
    <t>Hranatý svod s čistícím otvorem</t>
  </si>
  <si>
    <t>Rura kwadratowa z otworem rewizyjnym</t>
  </si>
  <si>
    <t>szögletes lefolyó tisztítónyílással</t>
  </si>
  <si>
    <t>štvorcový zvod s čistiacim otvorom</t>
  </si>
  <si>
    <t>vierkante buis met reinigingsopening</t>
  </si>
  <si>
    <t>pravokotna cev z odprtino</t>
  </si>
  <si>
    <t>kvadratrör med rengöringslucka</t>
  </si>
  <si>
    <t>kvadratrør med rengøringsåbning</t>
  </si>
  <si>
    <t>firkantrør med rengjøringsåpning</t>
  </si>
  <si>
    <t>kvadratna cijev s otvorom za čišćenje</t>
  </si>
  <si>
    <t>Quadratrohr Muffe</t>
  </si>
  <si>
    <t>square downpipe coupling</t>
  </si>
  <si>
    <t>manchon de jonction pour tuyau carré</t>
  </si>
  <si>
    <t>Riduzione pluviale quadro-scarico HT/KG</t>
  </si>
  <si>
    <t>Hranaté zaústění do kruhového odpadu</t>
  </si>
  <si>
    <t>Mufa do rury kwadratowej</t>
  </si>
  <si>
    <t>szögletes lefolyó átvezető elem</t>
  </si>
  <si>
    <t>prechodka štvorcového zvodu na kruhový zvod</t>
  </si>
  <si>
    <t>vierkante buis-mof</t>
  </si>
  <si>
    <t>povezovalec pravokotnih cevi</t>
  </si>
  <si>
    <t>kvadratrörsmuff</t>
  </si>
  <si>
    <t>kvadratrørsmuffe</t>
  </si>
  <si>
    <t>firkantrør-muffe</t>
  </si>
  <si>
    <t>čahura kvadratne cijevi</t>
  </si>
  <si>
    <t>Quadratrohr Speiereinmündung</t>
  </si>
  <si>
    <t>parapet outlet square downpipe connector</t>
  </si>
  <si>
    <t>embranchement d’évacuation carré pour toits plats</t>
  </si>
  <si>
    <t>Bocchettone da incasso per pluviale quadro</t>
  </si>
  <si>
    <t>Hranatý fasádní kotlík se zaústěním</t>
  </si>
  <si>
    <t>Wylot zlewiskowy do rury kwadratowej</t>
  </si>
  <si>
    <t>szögletes attikafal betorkoló elem</t>
  </si>
  <si>
    <t>fasádny kotlík štvorcového zvodu so zaústením pre strešný chrlič</t>
  </si>
  <si>
    <t>vierkante buis-spuwinmonding</t>
  </si>
  <si>
    <t>nastavek za izliv - pravokotni</t>
  </si>
  <si>
    <t>vägganslutning för kvadratrör</t>
  </si>
  <si>
    <t>kvadratrørstagrendetilslutning</t>
  </si>
  <si>
    <t>firkantrør-nedløpsåpning</t>
  </si>
  <si>
    <t>bočni uljev u kvadratnu cijev</t>
  </si>
  <si>
    <t>Quadratrohr Wasserfangkasten</t>
  </si>
  <si>
    <t>square downpipe leader head 220/220/330</t>
  </si>
  <si>
    <t>boîte à eau pour tuyau de descente carré 220/220/330</t>
  </si>
  <si>
    <t>Cassetta di raccolta per pluviale quadro 220/220/330h</t>
  </si>
  <si>
    <t>Sběrný kotlík hranatý s hranatým vyústěním 220/220/330</t>
  </si>
  <si>
    <t>Kosz zlewiskowy do rury kwadratowej 220/220/330</t>
  </si>
  <si>
    <t>vízgyűjtő üst szögletes lefolyóhoz 220/220/336</t>
  </si>
  <si>
    <t>zberný kotlík na vodu štvorcového zvodu 220/220/330</t>
  </si>
  <si>
    <t>vierkante buis-watervangbak 220/220/330</t>
  </si>
  <si>
    <t>kotliček - pravokotni</t>
  </si>
  <si>
    <t>Kvadratrörsvattenuppsamlare 220/220/330</t>
  </si>
  <si>
    <t>kvadratrørsvandopsamlingskasse 220/220/330</t>
  </si>
  <si>
    <t>firkantrør-vannoppsamler 220/220/330</t>
  </si>
  <si>
    <t>kutija za prihvat vode za kvadratnu cijev 220/220/330</t>
  </si>
  <si>
    <t>Quadratrohrbogen 72°, kurz</t>
  </si>
  <si>
    <t>square downpipe elbow 72° (short)</t>
  </si>
  <si>
    <t>coude de tuyau carré 72°, court</t>
  </si>
  <si>
    <t>Gomito per pluviale quadro, 72°, corto</t>
  </si>
  <si>
    <t>Koleno hranatého svodu 72° krátké</t>
  </si>
  <si>
    <t>Kolano 72° do rury kwadratowej krótkie</t>
  </si>
  <si>
    <t>szögletes lefolyó könyök 72° rövid</t>
  </si>
  <si>
    <t>štvorcové koleno 72° krátke</t>
  </si>
  <si>
    <t>vierkante buisbocht 72° kort</t>
  </si>
  <si>
    <t>koleno 72o - pravokotno kratko</t>
  </si>
  <si>
    <t>kvadratrörsvinkel 72° kort</t>
  </si>
  <si>
    <t>kvadratrørbue 72° kort</t>
  </si>
  <si>
    <t>firkantrørbend 72° kort</t>
  </si>
  <si>
    <t>koljeno kvadratne cijevi 72° kratko</t>
  </si>
  <si>
    <t>Quadratrohrbogen 72°, lang</t>
  </si>
  <si>
    <t>square downpipe elbow 72° (long)</t>
  </si>
  <si>
    <t>coude de tuyau carré 72°, long</t>
  </si>
  <si>
    <t>Gomito per pluviale quadro, 72° lungo</t>
  </si>
  <si>
    <t>Koleno hranatého svodu 72° dlouhé</t>
  </si>
  <si>
    <t>Kolano 72° do rury kwadratowej długie</t>
  </si>
  <si>
    <t>szögletes lefolyó 72° hosszú</t>
  </si>
  <si>
    <t>štvorcové koleno 72° dlhé</t>
  </si>
  <si>
    <t>vierkante buisbocht 72° lang</t>
  </si>
  <si>
    <t>koleno 72o - pravokotno dolgo</t>
  </si>
  <si>
    <t>kvadratrörsvinkel 72° lång</t>
  </si>
  <si>
    <t>kvadratrørbue 72° lang</t>
  </si>
  <si>
    <t>firkantrørbend 72° langt</t>
  </si>
  <si>
    <t>koljeno kvadratne cijevi 72° dugo</t>
  </si>
  <si>
    <t>Regenklappe</t>
  </si>
  <si>
    <t>downpipe cleanout</t>
  </si>
  <si>
    <t>récupérateur d’eau</t>
  </si>
  <si>
    <t>Deviatore con ispezione</t>
  </si>
  <si>
    <t>Dešťová klapka</t>
  </si>
  <si>
    <t>Rewizja rury spustowej</t>
  </si>
  <si>
    <t>vízlopó</t>
  </si>
  <si>
    <t>klapka zberača vody</t>
  </si>
  <si>
    <t>regenklep</t>
  </si>
  <si>
    <t>lovilec vode z loputo</t>
  </si>
  <si>
    <t>fällbar utkastare</t>
  </si>
  <si>
    <t>regnklap</t>
  </si>
  <si>
    <t>fellbart utkast</t>
  </si>
  <si>
    <t>kišna klapna</t>
  </si>
  <si>
    <t>Rinnenendboden</t>
  </si>
  <si>
    <t>gutter end cap</t>
  </si>
  <si>
    <t>fond de gouttière</t>
  </si>
  <si>
    <t>Testata per canale di gronda</t>
  </si>
  <si>
    <t>Čelo žlabu</t>
  </si>
  <si>
    <t>ereszcsatorna végelem</t>
  </si>
  <si>
    <t>čelo žľabu</t>
  </si>
  <si>
    <t>gooteindebodem</t>
  </si>
  <si>
    <t xml:space="preserve">žlebna zapora </t>
  </si>
  <si>
    <t>Ränngavel</t>
  </si>
  <si>
    <t>rendeendebund</t>
  </si>
  <si>
    <t>endebunn</t>
  </si>
  <si>
    <t>čelo žlijeba</t>
  </si>
  <si>
    <t>gutter bracket</t>
  </si>
  <si>
    <t>crochet de gouttière</t>
  </si>
  <si>
    <t>Cicogna per canali di gronda</t>
  </si>
  <si>
    <t>Žlabový hák</t>
  </si>
  <si>
    <t>Hak rynnowy połaciowy</t>
  </si>
  <si>
    <t>ereszcsatorna tartó</t>
  </si>
  <si>
    <t>hák polkruhového žľabu</t>
  </si>
  <si>
    <t>goothaak</t>
  </si>
  <si>
    <t>žlebna kljuka</t>
  </si>
  <si>
    <t>rännkrok</t>
  </si>
  <si>
    <t>rendekrog</t>
  </si>
  <si>
    <t>takrennefester</t>
  </si>
  <si>
    <t>kuka za oluk</t>
  </si>
  <si>
    <t>Rinnenhaken für Kastenrinne</t>
  </si>
  <si>
    <t>bracket for box gutter</t>
  </si>
  <si>
    <t>crochet pour gouttières carrées</t>
  </si>
  <si>
    <t>Portacanale per canale quadro</t>
  </si>
  <si>
    <t>Žlabový hák pro hranaté žlaby</t>
  </si>
  <si>
    <t>Hak rynnowy połaciowy do rynny kwadratowej</t>
  </si>
  <si>
    <t>négyszögszelvényű ereszcsatorna tartó</t>
  </si>
  <si>
    <t>hák hranatého žľabu</t>
  </si>
  <si>
    <t>goothaak voor bakgoot</t>
  </si>
  <si>
    <t>žlebna kljuka za pravokotni žleb</t>
  </si>
  <si>
    <t>rännkrok för lådränna</t>
  </si>
  <si>
    <t>rendekrog til kasserende</t>
  </si>
  <si>
    <t>takrennefester for firkantrenne</t>
  </si>
  <si>
    <t>kuka oluk za sandučasti žlijeb</t>
  </si>
  <si>
    <t>Rinnenhaken, hochkant</t>
  </si>
  <si>
    <t>upright gutter bracket</t>
  </si>
  <si>
    <t>crochet de chant</t>
  </si>
  <si>
    <t>Cicogna con ferro in costa per canale di gronda</t>
  </si>
  <si>
    <t>Žlabový hák zpevněný</t>
  </si>
  <si>
    <t>Hak wzmocniony do krokwiowy</t>
  </si>
  <si>
    <t>ereszcsatorna tartó elem élére hajlított</t>
  </si>
  <si>
    <t>hák polkruhového žľabu spevnený</t>
  </si>
  <si>
    <t>goothaak op de korte kant</t>
  </si>
  <si>
    <t>žlebna kljuka stranska</t>
  </si>
  <si>
    <t>rännkrok högkant</t>
  </si>
  <si>
    <t>rendekrog højkant</t>
  </si>
  <si>
    <t>takrennefester høykant</t>
  </si>
  <si>
    <t>kuka za oluk na kant</t>
  </si>
  <si>
    <t>Rinnenhaken Schweiz</t>
  </si>
  <si>
    <t>gutter bracket (Switzerland)</t>
  </si>
  <si>
    <t>crochet de gouttière (Suisse)</t>
  </si>
  <si>
    <t>Portacanale svizzero</t>
  </si>
  <si>
    <t>Horský hák přetočený</t>
  </si>
  <si>
    <t>Hak rynnowy wzmocniony nakrokwiowy</t>
  </si>
  <si>
    <t>ereszcsatorna tartó elem svájci</t>
  </si>
  <si>
    <t>hák polkruhového žľabu Švajčiarsko</t>
  </si>
  <si>
    <t>goothaak Zwitserland</t>
  </si>
  <si>
    <t>žlebna kljuka stranska CH</t>
  </si>
  <si>
    <t>rännkrok Schweiz</t>
  </si>
  <si>
    <t>rendekrog Schweiz</t>
  </si>
  <si>
    <t>takrennefester Sveits</t>
  </si>
  <si>
    <t>švicarska kuka za oluk</t>
  </si>
  <si>
    <t>Rinnenhakennägel</t>
  </si>
  <si>
    <t>gutter bracket nail 5.0 × 80</t>
  </si>
  <si>
    <t>clou pour crochet de gouttière (5,0 × 80)</t>
  </si>
  <si>
    <t>Chiodi per staffe portacanale 5,0 x 80</t>
  </si>
  <si>
    <t>Hřebíky pro žlabové háky 5,0 x 80</t>
  </si>
  <si>
    <t>Gwóźdź do haków rynnowych 5,0 × 80</t>
  </si>
  <si>
    <t>csatornatartó-szeg 5,0 x 86</t>
  </si>
  <si>
    <t>klinec pre žľabový hák 5,0 x 80</t>
  </si>
  <si>
    <t>goothaakspijker 5,0 × 80</t>
  </si>
  <si>
    <t>žičniki za žlebne kljuke 5,0 x 80</t>
  </si>
  <si>
    <t>rännkroksspik 5,0 × 80</t>
  </si>
  <si>
    <t>rendekrogsøm 5,0 × 80</t>
  </si>
  <si>
    <t>nagler for takrennefester 5,0 × 80</t>
  </si>
  <si>
    <t>čavli za kuke 5,0 × 80</t>
  </si>
  <si>
    <t>Rinnenkessel</t>
  </si>
  <si>
    <t>gutter outlet</t>
  </si>
  <si>
    <t>naissance</t>
  </si>
  <si>
    <t>Bocchetta svizzera</t>
  </si>
  <si>
    <t>Kulatý kotlík</t>
  </si>
  <si>
    <t>Wylot rynny</t>
  </si>
  <si>
    <t>betorkoló elem</t>
  </si>
  <si>
    <t>kotlík polkruhového žľabu</t>
  </si>
  <si>
    <t>vergaarbak</t>
  </si>
  <si>
    <t>žlebni izpust</t>
  </si>
  <si>
    <t>omvikningskupa</t>
  </si>
  <si>
    <t>rendefordybning</t>
  </si>
  <si>
    <t>tappstykke</t>
  </si>
  <si>
    <t>žlijebni kotlić</t>
  </si>
  <si>
    <t xml:space="preserve">Rinnenwinkel, außen </t>
  </si>
  <si>
    <t>external gutter mitre 90°</t>
  </si>
  <si>
    <t>équerre de gouttière, angle sortant 90°</t>
  </si>
  <si>
    <t>Angolo esterno 90° per canale di gronda</t>
  </si>
  <si>
    <t>Roh žlabu vnější 90°</t>
  </si>
  <si>
    <t>Narożnik 90° zew.</t>
  </si>
  <si>
    <t>ereszcsatorna szeglet külső 90°</t>
  </si>
  <si>
    <t>roh polkruhového zľabu vonkajší 90°</t>
  </si>
  <si>
    <t>goothoek buiten 90°</t>
  </si>
  <si>
    <t>vogalnik za polokrogli žleb, zunanji 90o</t>
  </si>
  <si>
    <t>ränna utvändig vinkel 90°</t>
  </si>
  <si>
    <t>rendevinkel udvendig 90°</t>
  </si>
  <si>
    <t>rennevinkel utvendig 90°</t>
  </si>
  <si>
    <t>kutni element žlijeba vanjski 90°</t>
  </si>
  <si>
    <t>Rinnenwinkel, innen</t>
  </si>
  <si>
    <t>internal gutter mitre 90°</t>
  </si>
  <si>
    <t>équerre de gouttière, angle rentant 90°</t>
  </si>
  <si>
    <t>Angolo interno 90° per canale di gronda</t>
  </si>
  <si>
    <t>Roh žlabu vnitřní 90°</t>
  </si>
  <si>
    <t>Narożnik 90° wew.</t>
  </si>
  <si>
    <t>ereszcsatorna szeglet belső 90°</t>
  </si>
  <si>
    <t>roh polkruhového zľabu vnútorný 90°</t>
  </si>
  <si>
    <t>goothoek binnen 90°</t>
  </si>
  <si>
    <t>vogalnik za polokrogli žleb, notranji 90o</t>
  </si>
  <si>
    <t>ränna invändig vinkel 90°</t>
  </si>
  <si>
    <t>rendevinkel indvendig 90°</t>
  </si>
  <si>
    <t>rennevinkel innvendig 90°</t>
  </si>
  <si>
    <t>kutni element žlijeba unutarnji 90°</t>
  </si>
  <si>
    <t>Rohr 28x2, 3m, für Sailerklemmen, inkl. Verbindungsmuffe</t>
  </si>
  <si>
    <t>pipe 28 × 2 × 3.000 mm, including coupling</t>
  </si>
  <si>
    <t>tube 28 × 2 × 3.000 mm, avec manchon de jonction</t>
  </si>
  <si>
    <t>Tubo 28 x 2 x 3.000 mm incluso giunto da 100mm</t>
  </si>
  <si>
    <t>Trubka sněhové zábrany včetně spojky 28 x 2 x 3.000 mm</t>
  </si>
  <si>
    <t>Rura bariery śniegowej 28 × 2 × 3.000 mm, z mufą</t>
  </si>
  <si>
    <t>hófogócső 28 x 2 x 3.000 mmtoldóelemmel</t>
  </si>
  <si>
    <t>rúrka snehového zachytávača 28 x 2 x 3.000 mm vrátane spojky</t>
  </si>
  <si>
    <t>buis 28 × 2 × 3000 mm, incl. mof</t>
  </si>
  <si>
    <t>cev za snegolov 28 x 2 x 3.000 mm vklj. S spojno pušo</t>
  </si>
  <si>
    <t>rör 28 × 2 × 3.000 mm, inkl. muff</t>
  </si>
  <si>
    <t>rør 28 × 2 × 3.000 mm, inkl. muffe</t>
  </si>
  <si>
    <t>rør 28 × 2 × 3000 mm, inkl. muffe</t>
  </si>
  <si>
    <t>cijev 28 × 2 × 3.000 mm, uklj. čahuru</t>
  </si>
  <si>
    <t>Rohrbogen 40°</t>
  </si>
  <si>
    <t>downpipe elbow 40°</t>
  </si>
  <si>
    <t>coude 40°</t>
  </si>
  <si>
    <t>Gomito 40°</t>
  </si>
  <si>
    <t>Koleno 40°</t>
  </si>
  <si>
    <t>Kolano 40°</t>
  </si>
  <si>
    <t>lefolyócső-ív 40°</t>
  </si>
  <si>
    <t>koleno kruhového zvodu 40°</t>
  </si>
  <si>
    <t>kniestuk 40°</t>
  </si>
  <si>
    <t>cevno koleno 40o</t>
  </si>
  <si>
    <t>rörvinkel 40°</t>
  </si>
  <si>
    <t>rørbøjning 40°</t>
  </si>
  <si>
    <t>bend 40°</t>
  </si>
  <si>
    <t>koljeno 40°</t>
  </si>
  <si>
    <t>Rohrbogen 72°</t>
  </si>
  <si>
    <t>downpipe elbow 72°</t>
  </si>
  <si>
    <t>coude 72°</t>
  </si>
  <si>
    <t>Gomito 72°</t>
  </si>
  <si>
    <t>Koleno 72°</t>
  </si>
  <si>
    <t>Kolano 72°</t>
  </si>
  <si>
    <t>lefolyócső-ív 72°</t>
  </si>
  <si>
    <t>koleno kruhového zvodu 72°</t>
  </si>
  <si>
    <t>kniestuk 72°</t>
  </si>
  <si>
    <t>cevno koleno 72o</t>
  </si>
  <si>
    <t>rörvinkel 72°</t>
  </si>
  <si>
    <t>rørbøjning 72°</t>
  </si>
  <si>
    <t>bend 72°</t>
  </si>
  <si>
    <t>koljeno 72°</t>
  </si>
  <si>
    <t>Rohrbogen 85°</t>
  </si>
  <si>
    <t>downpipe elbow 85°</t>
  </si>
  <si>
    <t>coude 85°</t>
  </si>
  <si>
    <t>Gomito 85°</t>
  </si>
  <si>
    <t>Koleno 85°</t>
  </si>
  <si>
    <t>Kolano 85°</t>
  </si>
  <si>
    <t>lefolyócső-ív 85°</t>
  </si>
  <si>
    <t>koleno kruhového zvodu 85°</t>
  </si>
  <si>
    <t>kniestuk 85°</t>
  </si>
  <si>
    <t>cevno koleno 85o</t>
  </si>
  <si>
    <t>rörvinkel 85°</t>
  </si>
  <si>
    <t>rørbøjning 85°</t>
  </si>
  <si>
    <t>bend 85°</t>
  </si>
  <si>
    <t>koljeno 85°</t>
  </si>
  <si>
    <t>Rohreinmündung</t>
  </si>
  <si>
    <t>downpipe branch</t>
  </si>
  <si>
    <t>embranchement</t>
  </si>
  <si>
    <t>Braga</t>
  </si>
  <si>
    <t>Odbočka kruhového svodu</t>
  </si>
  <si>
    <t>Trójnik</t>
  </si>
  <si>
    <t>csőbecsatlakozás</t>
  </si>
  <si>
    <t>odbočka kruhového zvodu</t>
  </si>
  <si>
    <t>buisinmonding</t>
  </si>
  <si>
    <t>cevni priključek</t>
  </si>
  <si>
    <t>grenrör</t>
  </si>
  <si>
    <t>rørudmunding</t>
  </si>
  <si>
    <t>grenrør</t>
  </si>
  <si>
    <t>račva odvodne cijevi</t>
  </si>
  <si>
    <t>Rohreinmündung konisch</t>
  </si>
  <si>
    <t>tapered downpipe branch</t>
  </si>
  <si>
    <t>embranchement conique</t>
  </si>
  <si>
    <t>Braga con innesto conico</t>
  </si>
  <si>
    <t>Odbočka kruhového svodu kónická</t>
  </si>
  <si>
    <t>Trójnik stożkowy</t>
  </si>
  <si>
    <t>kónikus csőbecsatlakozás</t>
  </si>
  <si>
    <t>odbočka kruhového zvodu kónická</t>
  </si>
  <si>
    <t>buisinmonding conisch</t>
  </si>
  <si>
    <t>konični cevni priključek</t>
  </si>
  <si>
    <t>grenrör koniskt</t>
  </si>
  <si>
    <t>rørudmunding konisk</t>
  </si>
  <si>
    <t>konisk grenrør</t>
  </si>
  <si>
    <t>račva odvodne cijevi konična</t>
  </si>
  <si>
    <t>Rohrschelle für Standrohr</t>
  </si>
  <si>
    <t>pipe bracket for straight downpipes</t>
  </si>
  <si>
    <t>collier pour dauphin</t>
  </si>
  <si>
    <t>Collare per terminali</t>
  </si>
  <si>
    <t>Přechodka na zaústění svodu</t>
  </si>
  <si>
    <t>Obejma do rur stojakowych</t>
  </si>
  <si>
    <t>lefolyócsőbilincs állványcsőhöz</t>
  </si>
  <si>
    <t>objímka pre zaústenie na ležatú kanalizáciu</t>
  </si>
  <si>
    <t>klembeugel voor staande buizen</t>
  </si>
  <si>
    <t>objemka za izlivno cev</t>
  </si>
  <si>
    <t>Rörsvep I Stål för Stålrör</t>
  </si>
  <si>
    <t>rørbøjle til standrør</t>
  </si>
  <si>
    <t>rørklemme for nedløpsrør</t>
  </si>
  <si>
    <t>cijevna obujmica za podnožnu cijev</t>
  </si>
  <si>
    <t>Rohrschelle für Ablaufrohr</t>
  </si>
  <si>
    <t>pipe bracket – with M10 thread without pin</t>
  </si>
  <si>
    <t>collier (filetage M10, sans goujon)</t>
  </si>
  <si>
    <t>Collare con filetto M10 senza chiodo</t>
  </si>
  <si>
    <t>Objímka se závitem M10 bez trnu</t>
  </si>
  <si>
    <t>Obejma rury z gwintem M10 bez trzpienia</t>
  </si>
  <si>
    <t>csőbilincs M10 menettel szár nélkül</t>
  </si>
  <si>
    <t>objímka zvodu so závitom M10 bez tŕňa</t>
  </si>
  <si>
    <t>klembeugel met M10-schroefdraad zonder doorn</t>
  </si>
  <si>
    <t>objemka za iztočno cev z matico z navojem M10</t>
  </si>
  <si>
    <t>rörsvep med M10-gänga utan dorn</t>
  </si>
  <si>
    <t>rørbøjle med M10 gevind uden dorn</t>
  </si>
  <si>
    <t>rørklemme med M10 gjenger uten stift</t>
  </si>
  <si>
    <t>cijevna obujmica s navojem M10 bez trna</t>
  </si>
  <si>
    <t>Rohrschellendorn</t>
  </si>
  <si>
    <t>pipe bracket pin</t>
  </si>
  <si>
    <t>goujon de collier</t>
  </si>
  <si>
    <t>Chiodo per collare</t>
  </si>
  <si>
    <t>Trn k objímce</t>
  </si>
  <si>
    <t>Trzpień wbijany</t>
  </si>
  <si>
    <t>csőbilincs tartó csavar</t>
  </si>
  <si>
    <t>oceľový tŕň zvodu s krytom</t>
  </si>
  <si>
    <t>klembeugeldoorn</t>
  </si>
  <si>
    <t xml:space="preserve">konica za zabijanje </t>
  </si>
  <si>
    <t>rörsvepsdorn</t>
  </si>
  <si>
    <t>rørbøjledorn</t>
  </si>
  <si>
    <t>stift for rørklemme</t>
  </si>
  <si>
    <t>trn cijevne obujmice</t>
  </si>
  <si>
    <t>Rohrschellendübel mit Dorn (für WDVS)</t>
  </si>
  <si>
    <t>pipe bracket dowel with pin (for ETICS)</t>
  </si>
  <si>
    <t>cheville d’isolation pour collier, avec goujon (pour ITE)</t>
  </si>
  <si>
    <t>Tassello per taglio termico con chiodo</t>
  </si>
  <si>
    <t>Hmoždinka pro prostup tepelnou izolací</t>
  </si>
  <si>
    <t>Element mocujący obejmy dla pełnej izolacji cieplnej z trzpieniem</t>
  </si>
  <si>
    <t>lefolyócsőbilincs-szár dübellel passzívházhoz</t>
  </si>
  <si>
    <t>oceľová hmoždinka s tŕňom do zatepľovacieho systému</t>
  </si>
  <si>
    <t>klembeugelplug met doorn (voor WDVS)</t>
  </si>
  <si>
    <t>konica za zabijanje s pokrivno kapo za EPS</t>
  </si>
  <si>
    <t>rörsvepsdymling med dorn (för enstegstätad fasad)</t>
  </si>
  <si>
    <t>rørbøjledybel med dorn (til WDVS)</t>
  </si>
  <si>
    <t>plugg for rørklemme med stift (for WDVS)</t>
  </si>
  <si>
    <t>tipla za cijevnu obujmicu s trnom (za toplinsku fasadu)</t>
  </si>
  <si>
    <t xml:space="preserve">Rohrschellenhalter, f.WDVS </t>
  </si>
  <si>
    <t>pipe bracket support (for ETICS)</t>
  </si>
  <si>
    <t>console pour collier (pour ITE)</t>
  </si>
  <si>
    <t>Piastra per taglio termico</t>
  </si>
  <si>
    <t>Držák hmoždinky pro zateplovací systémy</t>
  </si>
  <si>
    <t>Element mocujący obejmy dla pełnej izolacji cieplnej</t>
  </si>
  <si>
    <t>lefolyócső tartó bilincs passzívházhoz</t>
  </si>
  <si>
    <t>držiak objímky pre zatepľovacie systémy</t>
  </si>
  <si>
    <t>klembeugelhouder (voor WDVS)</t>
  </si>
  <si>
    <t>pritrdilo za fasade iz EPS</t>
  </si>
  <si>
    <t>rörssvepsfäste (för enstegstätad fasad)</t>
  </si>
  <si>
    <t>rørbøjleholder (til WDVS)</t>
  </si>
  <si>
    <t>feste for rørklemme (for WDVS)</t>
  </si>
  <si>
    <t>držač cijevne obujmice (za toplinsku fasadu)</t>
  </si>
  <si>
    <t>Rohrverbinder</t>
  </si>
  <si>
    <t>downpipe connector</t>
  </si>
  <si>
    <t>réduction de tuyau</t>
  </si>
  <si>
    <t>Bicchiere per pluviale</t>
  </si>
  <si>
    <t>Hrdlový spoj</t>
  </si>
  <si>
    <t>Złącze rury</t>
  </si>
  <si>
    <t>csőtoldó</t>
  </si>
  <si>
    <t>spojka zvodu</t>
  </si>
  <si>
    <t>buisverbinding</t>
  </si>
  <si>
    <t>povezovalec cevi</t>
  </si>
  <si>
    <t>röranslutning</t>
  </si>
  <si>
    <t>rørforbinder</t>
  </si>
  <si>
    <t>rørkobling</t>
  </si>
  <si>
    <t>cijevna spojnica</t>
  </si>
  <si>
    <t xml:space="preserve">Sailerklemmen, doppelt </t>
  </si>
  <si>
    <t>two-pipe seam clamp</t>
  </si>
  <si>
    <t>bride double</t>
  </si>
  <si>
    <t>Piastra fermaneve a doppio tubo</t>
  </si>
  <si>
    <t>Svěrka trubky sněhové zábrany dvojitá</t>
  </si>
  <si>
    <t>Mocowanie podwójne do bariery śniegowej</t>
  </si>
  <si>
    <t>kétcsöves hófogótartó</t>
  </si>
  <si>
    <t>dvojitá svorka rúrky zachytávača snehu</t>
  </si>
  <si>
    <t>Sailerklem dubbel</t>
  </si>
  <si>
    <t>dvojno držalo</t>
  </si>
  <si>
    <t>sailer-klämma dubbel</t>
  </si>
  <si>
    <t>sailer-klemme dobbelt</t>
  </si>
  <si>
    <t>dobbel falseklemme</t>
  </si>
  <si>
    <t>stezaljka dvostruka</t>
  </si>
  <si>
    <t>Sailerklemme, einfach</t>
  </si>
  <si>
    <t>one-pipe seam clamp</t>
  </si>
  <si>
    <t>bride simple</t>
  </si>
  <si>
    <t>Piastra fermaneve a tubo singolo</t>
  </si>
  <si>
    <t>Svěrka trubky sněhové zábrany jednoduchá</t>
  </si>
  <si>
    <t>Mocowanie pojedyncze do bariery śniegowej</t>
  </si>
  <si>
    <t>egycsöves hófogótartó</t>
  </si>
  <si>
    <t>jednoduchá svorka rúrky zachytávača snehu</t>
  </si>
  <si>
    <t>Sailerklem enkel</t>
  </si>
  <si>
    <t>enojno držalo</t>
  </si>
  <si>
    <t>sailer-klämma enkel</t>
  </si>
  <si>
    <t>sailer-klemme enkelt</t>
  </si>
  <si>
    <t>enkel falseklemme</t>
  </si>
  <si>
    <t>stezaljka jednostruka</t>
  </si>
  <si>
    <t>Sailerklemme mit Langloch</t>
  </si>
  <si>
    <t>seam clamp for diagonal seams</t>
  </si>
  <si>
    <t>bride de maintien pour agrafes en biais</t>
  </si>
  <si>
    <t>Piastra fermaneve con asola per aggraffatura inclinata</t>
  </si>
  <si>
    <t>Svěrka trubky sněhové zábrany pro šikmý falc</t>
  </si>
  <si>
    <t>Mocowanie pojedyncze z otworem podłużnym</t>
  </si>
  <si>
    <t>hófogótartó ovális lyukkal srégfalchoz</t>
  </si>
  <si>
    <t>svorka rúrky zachytávača snehu s predĺženým otvorom na šikmé drážky</t>
  </si>
  <si>
    <t>Sailerklem voor schuine felsen</t>
  </si>
  <si>
    <t>držalo z ovalno luknjo</t>
  </si>
  <si>
    <t>sailer-klämma för snedfals</t>
  </si>
  <si>
    <t>sailer-klemme til skråfalse</t>
  </si>
  <si>
    <t>falseklemme for skråfals</t>
  </si>
  <si>
    <t>stezaljka za kose falceve</t>
  </si>
  <si>
    <t>Saumrinne</t>
  </si>
  <si>
    <t>on-roof gutter with protective film on the outside</t>
  </si>
  <si>
    <t>gouttière havraise avec film de protection (face extérieure)</t>
  </si>
  <si>
    <t>Grondaia cornicione con pellicola protettiva esterna</t>
  </si>
  <si>
    <t>Nástřešní žlab s ochrannou folií</t>
  </si>
  <si>
    <t>Rynna leżąca z folią ochronną na zewnątrz</t>
  </si>
  <si>
    <t>fekvő ereszcsatorna külső oldali védőfóliával</t>
  </si>
  <si>
    <t>nástrešný žľab s ochrannou fóliou na vonkajšej strane</t>
  </si>
  <si>
    <t>randgoot met beschermfolie buiten</t>
  </si>
  <si>
    <t>ležeči žleb z zaščitno folijo na zun. Strani</t>
  </si>
  <si>
    <t>kantränna med utvändig skyddsfolie</t>
  </si>
  <si>
    <t>kantrende med beskyttelsesfolie udvendigt</t>
  </si>
  <si>
    <t>fotrenne med utvendig beskyttelsesfolie</t>
  </si>
  <si>
    <t>ležeći žlijeb sa zaštitnom folijom izvana</t>
  </si>
  <si>
    <t xml:space="preserve">Saumrinnen-Endboden </t>
  </si>
  <si>
    <t>on-roof gutter end cap</t>
  </si>
  <si>
    <t>fond de gouttière havraise</t>
  </si>
  <si>
    <t>Testata per grondaia cornicione</t>
  </si>
  <si>
    <t>Čelo nástřešního žlabu</t>
  </si>
  <si>
    <t>Końcówka do rynny leżącej</t>
  </si>
  <si>
    <t>fekvő ereszcsatorna végelem</t>
  </si>
  <si>
    <t>čelo nástrešného žľabu</t>
  </si>
  <si>
    <t>randgoot-eindbodem</t>
  </si>
  <si>
    <t>zapora za ležeči žleb</t>
  </si>
  <si>
    <t>kantrännändgavel</t>
  </si>
  <si>
    <t>kantrendeendebund</t>
  </si>
  <si>
    <t>endebunn for fotrenne</t>
  </si>
  <si>
    <t>čelo ležećeg žlijeba</t>
  </si>
  <si>
    <t>Saumrinnenhaken</t>
  </si>
  <si>
    <t>on-roof gutter bracket</t>
  </si>
  <si>
    <t>crochet de gouttière havraise</t>
  </si>
  <si>
    <t>Staffa per grondaia cornicione</t>
  </si>
  <si>
    <t>Žlabový hák pro nástřešní žlab</t>
  </si>
  <si>
    <t>Hak do rynny leżącej</t>
  </si>
  <si>
    <t>fekvő ereszcsatorna tartó</t>
  </si>
  <si>
    <t>hák nástrešného žľabu</t>
  </si>
  <si>
    <t>randgoothaak</t>
  </si>
  <si>
    <t>kljuka za ležeči žleb</t>
  </si>
  <si>
    <t>kantrännkrok</t>
  </si>
  <si>
    <t>kantrendekrog</t>
  </si>
  <si>
    <t>fester for fotrenne</t>
  </si>
  <si>
    <t>kuka ležećeg žlijeba</t>
  </si>
  <si>
    <t xml:space="preserve">Saumstreifen 1x158x1800mm </t>
  </si>
  <si>
    <t>edge cleat strip (1,800 × 158 × 1.00 mm)</t>
  </si>
  <si>
    <t>bande de départ (1 800 × 158 × 1,00 mm)</t>
  </si>
  <si>
    <t>Grondalina di partenza (1.800 x 158 x 1.00 mm)_IT</t>
  </si>
  <si>
    <t>Podkladní pás pro falcované šablony, šindele a panely FX.12 a R.16 (1.800 x 158 x 1.00 mm)</t>
  </si>
  <si>
    <t>Pas okapowy dla dachówek łupkowych rombów (1.800 × 158 × 1,00 mm)</t>
  </si>
  <si>
    <t>párkányelem (1.800 x 158 x 1.00 mm)</t>
  </si>
  <si>
    <t>okrajový podkladový pás (1.800 x 158 x 1.00 mm)</t>
  </si>
  <si>
    <t>randstroken (1800 × 158 × 1,00 mm)</t>
  </si>
  <si>
    <t>začetni trak (1.800 x 158 x 1.00 mm)</t>
  </si>
  <si>
    <t>kantremsa (1.800 × 158 × 1,00 mm)</t>
  </si>
  <si>
    <t>kantstrimmel (1.800 × 158 × 1,00 mm)</t>
  </si>
  <si>
    <t>skjøteplate (1800 × 158 × 1,00 mm)</t>
  </si>
  <si>
    <t>početna traka (1.800 × 158 × 1,00 mm)</t>
  </si>
  <si>
    <t xml:space="preserve">Schneestopper, Typ FX12/R16/DS.19 </t>
  </si>
  <si>
    <t>snow guard for R.16 roof tile and FX.12</t>
  </si>
  <si>
    <t>arrêt de neige pour R.16 et FX.12</t>
  </si>
  <si>
    <t>Naso fermaneve per Tegola R.16 e FX.12</t>
  </si>
  <si>
    <t>Sněhý hák pro panely R.16 und FX.12</t>
  </si>
  <si>
    <t>Bariera śniegowa Dachówka R.16 i FX.12</t>
  </si>
  <si>
    <t>hóvágó R.16 und FX.12 tetőfedő elemekhez</t>
  </si>
  <si>
    <t>zachytávač snehu na škridlu R.16 a panel FX.12</t>
  </si>
  <si>
    <t>sneeuwstopper voor dakplaat R.16 en FX.12</t>
  </si>
  <si>
    <t>snegolov za strešne plošče R.16 in FX.12</t>
  </si>
  <si>
    <t>snöstoppare för takplatta R.16 och FX.12</t>
  </si>
  <si>
    <t>snestopper til tagplade R.16 og FX.12</t>
  </si>
  <si>
    <t>snøstopper for takplate R.16 og FX.12</t>
  </si>
  <si>
    <t>snjegobran za krovnu ploču R.16 i FX.12</t>
  </si>
  <si>
    <t>Schneestopper für Dachraute 29 × 29</t>
  </si>
  <si>
    <t>snow guard for rhomboid roof tile 29 × 29</t>
  </si>
  <si>
    <t>arrêt de neige pour losanges de toiture 29 × 29</t>
  </si>
  <si>
    <t>Naso fermaneve per Scaglia 29</t>
  </si>
  <si>
    <t>Sněhový hák pro falcované šablony 29x29</t>
  </si>
  <si>
    <t>Bariera śniegowa Dachówka romb 29 × 29</t>
  </si>
  <si>
    <t>hóvágó 29x29 tetőfedő rombuszhoz</t>
  </si>
  <si>
    <t>zachytávač snehu na šablónu 29x29</t>
  </si>
  <si>
    <t>sneeuwstopper voor daklosange 29 × 29</t>
  </si>
  <si>
    <t>snegolov za strešni romb 29x29</t>
  </si>
  <si>
    <t>snöstoppare för takromb 29 × 29</t>
  </si>
  <si>
    <t>snestopper til rudeformet tagplade 29 × 29</t>
  </si>
  <si>
    <t>snøstopper for takstein 29 × 29</t>
  </si>
  <si>
    <t>snjegobran za krovni romb 29 × 29</t>
  </si>
  <si>
    <t>Schneestopper für Dachraute 44 × 44</t>
  </si>
  <si>
    <t>snow guard for rhomboid roof tile 44 × 44</t>
  </si>
  <si>
    <t>arrêt de neige pour losanges de toiture 44 × 44</t>
  </si>
  <si>
    <t>Naso fermaneve per Scaglia 44</t>
  </si>
  <si>
    <t>Sněhový hák  44x44</t>
  </si>
  <si>
    <t>Bariera śniegowa Dachówka romb 44 × 44</t>
  </si>
  <si>
    <t>hóvágó 44x44 tetőfedő rombuszhoz</t>
  </si>
  <si>
    <t>zachytávač snehu na šablónu 44x44</t>
  </si>
  <si>
    <t>sneeuwstopper voor daklosange 44 × 44</t>
  </si>
  <si>
    <t>snegolov za strešni romb 44x44</t>
  </si>
  <si>
    <t>snöstoppare för takromb 44 × 44</t>
  </si>
  <si>
    <t>snestopper til rudeformet tagplade 44 × 44</t>
  </si>
  <si>
    <t>snøstopper for takstein 44 × 44</t>
  </si>
  <si>
    <t>snjegobran za krovni romb 44 × 44</t>
  </si>
  <si>
    <t xml:space="preserve">Schneestopper, Typ PS, für Dachschindel </t>
  </si>
  <si>
    <t>snow guard for shingle</t>
  </si>
  <si>
    <t>arrêt de neige pour bardeau</t>
  </si>
  <si>
    <t>Naso fermaneve per Scandola</t>
  </si>
  <si>
    <t>Sněhový hák pro panely R.16 und FX.12</t>
  </si>
  <si>
    <t>Bariera śniegowa Dachówka łupkowa</t>
  </si>
  <si>
    <t>hóvágó tetőfedő zsindelyhez</t>
  </si>
  <si>
    <t>zachytávač snehu na šindeľ</t>
  </si>
  <si>
    <t>sneeuwstopper voor dakschindel</t>
  </si>
  <si>
    <t>snegolov za strešno skodlo</t>
  </si>
  <si>
    <t>snöstoppare för takshingel</t>
  </si>
  <si>
    <t>snestopper til tagspån</t>
  </si>
  <si>
    <t>snøstopper for takshingel</t>
  </si>
  <si>
    <t>snjegobran za krovnu šindru</t>
  </si>
  <si>
    <t>Schrägstutzen</t>
  </si>
  <si>
    <t>diagonal outlet</t>
  </si>
  <si>
    <t>naissance inclinée</t>
  </si>
  <si>
    <t>Bocchetta di scarico con innesto inclinato</t>
  </si>
  <si>
    <t>Šikmé vyústění žlabu</t>
  </si>
  <si>
    <t>Wylot rynny boczny</t>
  </si>
  <si>
    <t xml:space="preserve">ferde betorkoló </t>
  </si>
  <si>
    <t>šikmé hrdlo</t>
  </si>
  <si>
    <t>schuine steunen</t>
  </si>
  <si>
    <t>stranski izpust</t>
  </si>
  <si>
    <t>vinkelbar omvikningskupa</t>
  </si>
  <si>
    <t>skråstuds</t>
  </si>
  <si>
    <t>skråstuss</t>
  </si>
  <si>
    <t>kosi odvod</t>
  </si>
  <si>
    <t>Sockelknie 60 mm Ausladung</t>
  </si>
  <si>
    <t>swan neck, 60 mm projection</t>
  </si>
  <si>
    <t>coude étage, avec projection de 60 mm</t>
  </si>
  <si>
    <t>Spostamento, disassamento 60mm</t>
  </si>
  <si>
    <t>Soklové koleno, přesah 60mm</t>
  </si>
  <si>
    <t>Kolano podwójne 60 mm</t>
  </si>
  <si>
    <t>lábazati elem 60mm előállással</t>
  </si>
  <si>
    <t>soklové koleno, vybočenie 60 mm</t>
  </si>
  <si>
    <t>sokkelknie 60 mm reikwijdte</t>
  </si>
  <si>
    <t>izogibno koleno 60 mm grlo</t>
  </si>
  <si>
    <t>sockelknä 60 mm utladdning</t>
  </si>
  <si>
    <t>sokkelknæ 60 mm udhæng</t>
  </si>
  <si>
    <t>sokkelkne 60 mm radius</t>
  </si>
  <si>
    <t>podnožno koljeno pomak 60 mm</t>
  </si>
  <si>
    <t>Speiereinmündung</t>
  </si>
  <si>
    <t>parapet outlet downpipe connector</t>
  </si>
  <si>
    <t>embranchement d’évacuation rond pour toits plats</t>
  </si>
  <si>
    <t>Bocchettone da incasso troncoconico</t>
  </si>
  <si>
    <t>Fasádní kotlík se zaústěním</t>
  </si>
  <si>
    <t>Wylot zlewiskowy</t>
  </si>
  <si>
    <t>attikafal vízgyűjtő üst</t>
  </si>
  <si>
    <t>fasádny kotlík so zaústením pre strešný chrlič</t>
  </si>
  <si>
    <t>spuwinmonding</t>
  </si>
  <si>
    <t xml:space="preserve">Nastavek za izliv </t>
  </si>
  <si>
    <t>vägganslutning</t>
  </si>
  <si>
    <t>tagrendetilslutning</t>
  </si>
  <si>
    <t>nedløpsåpning</t>
  </si>
  <si>
    <t>bočni uljev</t>
  </si>
  <si>
    <t>straight downpipe with access pipe</t>
  </si>
  <si>
    <t>dauphin avec porte de nettoyage</t>
  </si>
  <si>
    <t>Terminale con apertura di ispezione</t>
  </si>
  <si>
    <t>Zaústění svodu do kanalizace s otvorem na čištění</t>
  </si>
  <si>
    <t>Rura stojakowa z otworem rewizyjnym</t>
  </si>
  <si>
    <t>állványcső tisztítónyílással</t>
  </si>
  <si>
    <t>zvod s čistiacim otvorom</t>
  </si>
  <si>
    <t>staande buis met reinigingsopening</t>
  </si>
  <si>
    <t>jeklena izlivna cev z odprtino za čiščenje</t>
  </si>
  <si>
    <t>stuprör med rengöringslucka</t>
  </si>
  <si>
    <t>standrør med rengøringsåbning</t>
  </si>
  <si>
    <t>nedløpsrør med rengjøringsåpning</t>
  </si>
  <si>
    <t>podnožna cijev s otvorom za čišćenje</t>
  </si>
  <si>
    <t>Standrohrkappe</t>
  </si>
  <si>
    <t>standpipe cap</t>
  </si>
  <si>
    <t>collerette</t>
  </si>
  <si>
    <t>Copribicchiere per terminale</t>
  </si>
  <si>
    <t>Rozeta</t>
  </si>
  <si>
    <t>állványcső-csőkarika</t>
  </si>
  <si>
    <t>zvodová prechodka</t>
  </si>
  <si>
    <t>staande buiskap</t>
  </si>
  <si>
    <t>rozeta s svitkom</t>
  </si>
  <si>
    <t>krage till brunnsutkastare</t>
  </si>
  <si>
    <t>standrørkappe</t>
  </si>
  <si>
    <t>krage til nedløpsrør</t>
  </si>
  <si>
    <t>kapa podnožne cijevi</t>
  </si>
  <si>
    <t>Startplatte f. Dachraute 44x44, inkl. Befestigung</t>
  </si>
  <si>
    <t>leading plate (1.48 pc./m, 40 pc./box)</t>
  </si>
  <si>
    <t>demi-losange de départ (1,48 par mètre, 40 par carton)</t>
  </si>
  <si>
    <t>Scaglia 44 di partenza (1,48 pz./m, 40 pz./cf.)</t>
  </si>
  <si>
    <t>Startovací šablona (1,48 ks./bm, 40 ks./balení)</t>
  </si>
  <si>
    <t>Dachówka początkowa (1,48 szt./mb, 40 szt./opak.)</t>
  </si>
  <si>
    <t>indítóelem (1,48 db./fm, 40 db/doboz)</t>
  </si>
  <si>
    <t>štartovacia šablóna (1,48 ks/bm, 40 ks/kart.)</t>
  </si>
  <si>
    <t>beginplaat (1,48 stks./m1, 40 stks./doos)</t>
  </si>
  <si>
    <t>začetna plošča (1,48 kos/tm, 40 kos/škatlo)</t>
  </si>
  <si>
    <t>startplatta (1,48 st./lpm, 40 st./kart.)</t>
  </si>
  <si>
    <t>startplade (1,48 stk./lbm, 40 stk./kart.)</t>
  </si>
  <si>
    <t>startplate (1,48 stk./lm, 40 stk./kart.)</t>
  </si>
  <si>
    <t>početna ploča (1,48 kom. / d/m, 40 kom./kut.)</t>
  </si>
  <si>
    <t>Startplatte f. Dachraute 29x29</t>
  </si>
  <si>
    <t>leading plate (2.2 pc./m, 100 pc./box)</t>
  </si>
  <si>
    <t>demi-losange de départ (2,2 par mètre, 100 par carton)</t>
  </si>
  <si>
    <t>Scaglia 29 di partenza (2,2 pz./m, 100 pz./cf.)</t>
  </si>
  <si>
    <t>Startovací šablona (2,2 ks./bm, 100 ks./balení)</t>
  </si>
  <si>
    <t>Dachówka początkowa (2,2 szt./mb, 100 szt./opak.)</t>
  </si>
  <si>
    <t>indítóelem (2,2 db./fm, 100 db/doboz)</t>
  </si>
  <si>
    <t>štartovacia šablóna (2,2 ks/bm, 100 ks/kart.)</t>
  </si>
  <si>
    <t>beginplaat (2,2 stks./m1, 100 stks./doos)</t>
  </si>
  <si>
    <t>začetna plošča (2,2 kos/tm, 100 kos/škatlo)</t>
  </si>
  <si>
    <t>startplatta (2,2 st./lpm, 100 st./kart.)</t>
  </si>
  <si>
    <t>startplade (2,2 stk./lbm, 100 stk./kart.)</t>
  </si>
  <si>
    <t>startplate (2,2 stk./lm, 100 stk./kart.)</t>
  </si>
  <si>
    <t>početna ploča (2,2 kom. / d/m, 100 kom./kut.)</t>
  </si>
  <si>
    <t xml:space="preserve">Stirnbretthaken </t>
  </si>
  <si>
    <t>bargeboard bracket for gutters</t>
  </si>
  <si>
    <t>crochet de larmier pour gouttière</t>
  </si>
  <si>
    <t>Staffa portacanale per montaggio su frontalino</t>
  </si>
  <si>
    <t>Žlabový hák římsový</t>
  </si>
  <si>
    <t>Hak rynnowy doczołowy</t>
  </si>
  <si>
    <t>szár nélküli csatornatartó</t>
  </si>
  <si>
    <t>rímsový hák pre polkruhové zľaby</t>
  </si>
  <si>
    <t>kopplaathaak voor dakgoten</t>
  </si>
  <si>
    <t>žlebna kljuka za čelno desko</t>
  </si>
  <si>
    <t>Kompaktkrok</t>
  </si>
  <si>
    <t>sternbrætkrog til tagrender</t>
  </si>
  <si>
    <t>vindski-fester for takrenner</t>
  </si>
  <si>
    <t>kuka za montažu na čeonu dasku za krovne žljebove</t>
  </si>
  <si>
    <t>Stirnbretthaken für Kastenrinnen</t>
  </si>
  <si>
    <t>bargeboard bracket for box gutters</t>
  </si>
  <si>
    <t>crochet de larmier pour gouttières carrées</t>
  </si>
  <si>
    <t>Staffa portacanale quadro per fissaggio su frontalino</t>
  </si>
  <si>
    <t>Žlabový hák římsový pro hranaté žlaby</t>
  </si>
  <si>
    <t>szár nélküli csatornatartó négyszögszelvényű csatornához</t>
  </si>
  <si>
    <t>rímsový hák pre hranaté zľaby</t>
  </si>
  <si>
    <t>kopplaathaak voor bakgoten</t>
  </si>
  <si>
    <t>kljuka pravokotna za čelno desko</t>
  </si>
  <si>
    <t>Kompaktkrok för lådränna</t>
  </si>
  <si>
    <t>sternbrætkrog til kasserende</t>
  </si>
  <si>
    <t>vindski-fester for firkantrenne</t>
  </si>
  <si>
    <t>kuka za montažu na čeonu dasku za sandučaste žljebove</t>
  </si>
  <si>
    <t>Saumrinnenstutzen</t>
  </si>
  <si>
    <t>outlet</t>
  </si>
  <si>
    <t>moignon</t>
  </si>
  <si>
    <t>Scarico per grondaia cornicione</t>
  </si>
  <si>
    <t>Vyústění nástřešního žlabu</t>
  </si>
  <si>
    <t>Wylot</t>
  </si>
  <si>
    <t>fekvő ereszcsatorna betorkoló elem</t>
  </si>
  <si>
    <t>hrdlo</t>
  </si>
  <si>
    <t>randgootsteunen</t>
  </si>
  <si>
    <t>povezovalec</t>
  </si>
  <si>
    <t>kantrännestötta</t>
  </si>
  <si>
    <t>kantrendestuds</t>
  </si>
  <si>
    <t>stuss for fotrenne</t>
  </si>
  <si>
    <t>odvod ležećeg žlijeba</t>
  </si>
  <si>
    <t>Teleskoprohrbogen, längenverstellbar von 700 bis 1.000 mm, DN 100</t>
  </si>
  <si>
    <t>telescopic downpipe elbow, adjustable from 700 to 1,000 mm, nominal size 100</t>
  </si>
  <si>
    <t>coude télescopique ; longueur réglable : entre 700 et 1 000 mm ; DN 100</t>
  </si>
  <si>
    <t>Voluta allungabile da 700 a 1.000 mm DN 100</t>
  </si>
  <si>
    <t>Teleskop-koleno od 700 do 1.000 mm DN 100</t>
  </si>
  <si>
    <t>Teleskop 700 - 1.000 mm, DN 100</t>
  </si>
  <si>
    <t>teleszkópos hattyúnyak 700 - 1.000 mm DN 106</t>
  </si>
  <si>
    <t>teleskopické koleno nastaviteľná dĺžka od 700 do 1.000 mm DN 100</t>
  </si>
  <si>
    <t>telescopisch kniestuk, in lengte verstelbaar van 700 tot 1000 mm, DN 100</t>
  </si>
  <si>
    <t>teleskopsko koleno 72o od 700 do 1.000 mm DN 100</t>
  </si>
  <si>
    <t>teleskoprörvinkel, inställningsbar i längsled på mellan 700 och 1.000 mm, DN 100</t>
  </si>
  <si>
    <t>teleskoprørbøjning, længdejusterbar fra 700 til 1.000 mm, DN 100</t>
  </si>
  <si>
    <t>teleskopbend, justerbar lengde fra 700 til 1000 mm, DN 100</t>
  </si>
  <si>
    <t>teleskopsko koljeno, podesivo po duljini od 700 do 1.000 mm, DN 100</t>
  </si>
  <si>
    <t>Vogelschutzgitter 125 × 2.000 × 0,7 mm</t>
  </si>
  <si>
    <t>bird screen (125 × 2,000 × 0.7 mm)</t>
  </si>
  <si>
    <t>grille anti-insectes 125 × 2 000 × 0,7 mm</t>
  </si>
  <si>
    <t>Lamiera forata anti volatile 125 x 2.000 x 0,7 mm</t>
  </si>
  <si>
    <t>Ochranná mřížka proti ptákům 125 x 2.000 x 0,7 mm</t>
  </si>
  <si>
    <t>Siatka ochronna przeciw ptakom 125 × 2.000 × 0,7 mm</t>
  </si>
  <si>
    <t>madárrács 125 x 2.000 x 0,7 mm</t>
  </si>
  <si>
    <t>ochranná mriežka proti vtákom  125 x 2.000 x 0,7 mm</t>
  </si>
  <si>
    <t>vogelbeschermingsrooster 125 × 2000 × 0,7 mm</t>
  </si>
  <si>
    <t>fågelskyddsgaller 125 × 2.000 × 0,7 mm</t>
  </si>
  <si>
    <t>fuglebeskyttelsesgitter 125 × 2.000 × 0,7 mm</t>
  </si>
  <si>
    <t>fuglegitter 125 × 2000 × 0,7 mm</t>
  </si>
  <si>
    <t>rešetka za zaštitu od ptica 125 × 2.000 × 0,7 mm</t>
  </si>
  <si>
    <t>Wasserfangkasten</t>
  </si>
  <si>
    <t>leader head 220/220/330</t>
  </si>
  <si>
    <t>boîte à eau 220/220/330</t>
  </si>
  <si>
    <t>Cassetta di raccolta 220/220/330</t>
  </si>
  <si>
    <t>Sběrný kotlík 220/220/330</t>
  </si>
  <si>
    <t>Kosz zlewiskowy 220/220/330</t>
  </si>
  <si>
    <t>vízgyűjtő üst 220/220/336</t>
  </si>
  <si>
    <t>zberný kotlík 220/220/330</t>
  </si>
  <si>
    <t>watervangbak 220/220/330</t>
  </si>
  <si>
    <t>kotliček 220/220/330</t>
  </si>
  <si>
    <t>vattenuppsamlare 220/220/330</t>
  </si>
  <si>
    <t>vandopsamlingskasse 220/220/330</t>
  </si>
  <si>
    <t>vannoppsamler 220/220/330</t>
  </si>
  <si>
    <t>kutija za prihvat vode 220/220/330</t>
  </si>
  <si>
    <t>Wassersammler</t>
  </si>
  <si>
    <t>water collector</t>
  </si>
  <si>
    <t>collecteur d’eau</t>
  </si>
  <si>
    <t>Deviatore</t>
  </si>
  <si>
    <t>Sběrač dešťové vody</t>
  </si>
  <si>
    <t>Zbiornik na wodę</t>
  </si>
  <si>
    <t>automata vízlopó</t>
  </si>
  <si>
    <t>zberač vody</t>
  </si>
  <si>
    <t>waterverzamelaar</t>
  </si>
  <si>
    <t>lovilec vode</t>
  </si>
  <si>
    <t>regnvattensamlare</t>
  </si>
  <si>
    <t>vandsamler</t>
  </si>
  <si>
    <t>vannsamler</t>
  </si>
  <si>
    <t>skupljač vode</t>
  </si>
  <si>
    <t>PREFALZ</t>
  </si>
  <si>
    <t>Prefalz</t>
  </si>
  <si>
    <r>
      <rPr>
        <sz val="11"/>
        <color theme="1"/>
        <rFont val="Calibri"/>
        <family val="2"/>
      </rPr>
      <t>PREFALZ</t>
    </r>
  </si>
  <si>
    <t>prefalz</t>
  </si>
  <si>
    <t>Prefalz Farbaluminiumband 0,7 × 1.000 mm</t>
  </si>
  <si>
    <t>Prefalz colour aluminium strip 0.7 × 1,000 mm</t>
  </si>
  <si>
    <t>bande d’aluminium coloré Prefalz 0,7 × 1 000 mm</t>
  </si>
  <si>
    <t>PREFALZ Nastro in alluminio preverniciato 0,7x1.000 mm</t>
  </si>
  <si>
    <t>PREFALZ barevný plech 0,7x1.000 mm</t>
  </si>
  <si>
    <t>Prefalz aluminiowa blacha powlekana 0,7 × 1.000 mm</t>
  </si>
  <si>
    <t>PREFALZ bevonatos alumínium szalag 0,7x1.000 mm</t>
  </si>
  <si>
    <t>PREFALZ farebné hliníkové zvitky 0,7x1.000 mm</t>
  </si>
  <si>
    <r>
      <rPr>
        <sz val="11"/>
        <color theme="1"/>
        <rFont val="Calibri"/>
        <family val="2"/>
      </rPr>
      <t>Prefalz gekleurde aluminium band 0,7 × 1000 mm</t>
    </r>
  </si>
  <si>
    <t>PREFALZ barvani aluminijasti trak 0,7 x 1.000 mm</t>
  </si>
  <si>
    <r>
      <rPr>
        <sz val="11"/>
        <color theme="1"/>
        <rFont val="Calibri"/>
        <family val="2"/>
      </rPr>
      <t>Prefalz färgytbehandlat aluminiumband 0,7 × 1.000 mm</t>
    </r>
  </si>
  <si>
    <r>
      <rPr>
        <sz val="11"/>
        <color theme="1"/>
        <rFont val="Calibri"/>
        <family val="2"/>
      </rPr>
      <t>Prefalz farvealuminiumsbånd 0,7 × 1.000 mm</t>
    </r>
  </si>
  <si>
    <r>
      <rPr>
        <sz val="11"/>
        <color theme="1"/>
        <rFont val="Calibri"/>
        <family val="2"/>
      </rPr>
      <t>Prefalz fargealuminiumsbånd 0,7 × 1000 mm</t>
    </r>
  </si>
  <si>
    <t>Prefalz aluminijska traka u boji 0,7 × 1.000 mm</t>
  </si>
  <si>
    <t>PREFALZ 0,7x1000 (für Zusatzverblechungen)</t>
  </si>
  <si>
    <t>Prefalz colour aluminium strip 0.7 × 1,000 mm (for additional flashings)</t>
  </si>
  <si>
    <t>bande d’aluminium coloré Prefalz 0,7 × 1 000 mm (pour les raccordements complémentaires)</t>
  </si>
  <si>
    <t>PREFALZ Nastro in alluminio preverniciato 0,7x1.000 mm (per esecuzione converse e lattonerie)</t>
  </si>
  <si>
    <t>PREFALZ barevný plech 0,7x1.000 mm (na klempířskou výrobu)</t>
  </si>
  <si>
    <t>Prefalz aluminiowa blacha powlekana 0,7 × 1.000 mm (für Zusatzverblechungen)</t>
  </si>
  <si>
    <t>PREFALZ bevonatos alumínium szalag 0,7x1.000 mm (kiegészítő bádogos szerkezetekhez)</t>
  </si>
  <si>
    <t>PREFALZ farebné hliníkové zvitky 0,7x1.000 mm ( pre oplechovania a lemovky )</t>
  </si>
  <si>
    <r>
      <rPr>
        <sz val="11"/>
        <color theme="1"/>
        <rFont val="Calibri"/>
        <family val="2"/>
      </rPr>
      <t>Prefalz gekleurde aluminium band 0,7 × 1000 mm (voor aanvullend plaatwerk)</t>
    </r>
  </si>
  <si>
    <t>PREFALZ barvani aluminijasti trak 0,7 x 1.000 mm (za dopolnjevanje)</t>
  </si>
  <si>
    <r>
      <rPr>
        <sz val="11"/>
        <color theme="1"/>
        <rFont val="Calibri"/>
        <family val="2"/>
      </rPr>
      <t>Prefalz färgytbehandlat aluminiumband 0,7 × 1.000 mm (för kompletterande plåtarbeten)</t>
    </r>
  </si>
  <si>
    <r>
      <rPr>
        <sz val="11"/>
        <color theme="1"/>
        <rFont val="Calibri"/>
        <family val="2"/>
      </rPr>
      <t>Prefalz farvealuminiumsbånd 0,7 × 1.000 mm (til ekstra inddækning)</t>
    </r>
  </si>
  <si>
    <r>
      <rPr>
        <sz val="11"/>
        <color theme="1"/>
        <rFont val="Calibri"/>
        <family val="2"/>
      </rPr>
      <t>Prefalz fargealuminiumsbånd 0,7 × 1000 mm (for tilleggsbeslag)</t>
    </r>
  </si>
  <si>
    <t>Prefalz aluminijska traka u boji 0,7 × 1.000 mm (za dodatne limene obrube)</t>
  </si>
  <si>
    <t>PREFALZ 0,7x500</t>
  </si>
  <si>
    <t>Prefalz colour aluminium strip 0.7 × 500 mm</t>
  </si>
  <si>
    <t>bande d’aluminium coloré Prefalz 0,7 × 500 mm</t>
  </si>
  <si>
    <t>PREFALZ Nastro in alluminio preverniciato 0,7x500 mm</t>
  </si>
  <si>
    <t>PREFALZ barevný plech 0,7x500 mm</t>
  </si>
  <si>
    <t>Prefalz aluminiowa blacha powlekana 0,7 × 500 mm</t>
  </si>
  <si>
    <t>PREFALZ bevonatos alumínium szalag 0,7x500 mm</t>
  </si>
  <si>
    <t>PREFALZ farebné hliníkové zvitky 0,7x500 mm</t>
  </si>
  <si>
    <r>
      <rPr>
        <sz val="11"/>
        <color theme="1"/>
        <rFont val="Calibri"/>
        <family val="2"/>
      </rPr>
      <t>Prefalz gekleurde aluminium band 0,7 × 500 mm</t>
    </r>
  </si>
  <si>
    <t>PREFALZ barvani aluminijasti trak 0,7 x 500 mm</t>
  </si>
  <si>
    <r>
      <rPr>
        <sz val="11"/>
        <color theme="1"/>
        <rFont val="Calibri"/>
        <family val="2"/>
      </rPr>
      <t>Prefalz färgytbehandlat aluminiumband 0,7 × 500 mm</t>
    </r>
  </si>
  <si>
    <r>
      <rPr>
        <sz val="11"/>
        <color theme="1"/>
        <rFont val="Calibri"/>
        <family val="2"/>
      </rPr>
      <t>Prefalz farvealuminiumsbånd 0,7 × 500 mm</t>
    </r>
  </si>
  <si>
    <r>
      <rPr>
        <sz val="11"/>
        <color theme="1"/>
        <rFont val="Calibri"/>
        <family val="2"/>
      </rPr>
      <t>Prefalz fargealuminiumsbånd 0,7 × 500 mm</t>
    </r>
  </si>
  <si>
    <t>Prefalz aluminijska traka u boji 0,7 × 500 mm</t>
  </si>
  <si>
    <t>PREFALZ 0,7x650</t>
  </si>
  <si>
    <t>Prefalz colour aluminium strip 0.7 × 650 mm</t>
  </si>
  <si>
    <t>bande d’aluminium coloré Prefalz 0,7 × 650 mm</t>
  </si>
  <si>
    <t>PREFALZ Nastro in allluminio preverniciato 0,7x650 mm</t>
  </si>
  <si>
    <t>PREFALZ barevný plech 0,7x650 mm</t>
  </si>
  <si>
    <t>Prefalz aluminiowa blacha powlekana 0,7 × 650 mm</t>
  </si>
  <si>
    <t>PREFALZ bevonatos alumínium szalag 0,7x650 mm</t>
  </si>
  <si>
    <t>PREFALZ farebné hliníkové zvitky 0,7x650 mm</t>
  </si>
  <si>
    <r>
      <rPr>
        <sz val="11"/>
        <color theme="1"/>
        <rFont val="Calibri"/>
        <family val="2"/>
      </rPr>
      <t>Prefalz gekleurde aluminium band 0,7 × 650 mm</t>
    </r>
  </si>
  <si>
    <t>PREFALZ barvani aluminijasti trak 0,7 x 650 mm</t>
  </si>
  <si>
    <r>
      <rPr>
        <sz val="11"/>
        <color theme="1"/>
        <rFont val="Calibri"/>
        <family val="2"/>
      </rPr>
      <t>Prefalz färgytbehandlat aluminiumband 0,7 × 650 mm</t>
    </r>
  </si>
  <si>
    <r>
      <rPr>
        <sz val="11"/>
        <color theme="1"/>
        <rFont val="Calibri"/>
        <family val="2"/>
      </rPr>
      <t>Prefalz farvealuminiumsbånd 0,7 × 650 mm</t>
    </r>
  </si>
  <si>
    <r>
      <rPr>
        <sz val="11"/>
        <color theme="1"/>
        <rFont val="Calibri"/>
        <family val="2"/>
      </rPr>
      <t>Prefalz fargealuminiumsbånd 0,7 × 650 mm</t>
    </r>
  </si>
  <si>
    <t>Prefalz aluminijska traka u boji 0,7 × 650 mm</t>
  </si>
  <si>
    <t>10 white</t>
  </si>
  <si>
    <t>10 blanc prefa</t>
  </si>
  <si>
    <t>10 bianco Prefa</t>
  </si>
  <si>
    <t>10 bílá</t>
  </si>
  <si>
    <t>10 Biały</t>
  </si>
  <si>
    <t>10 prefafehér</t>
  </si>
  <si>
    <t>10 biela</t>
  </si>
  <si>
    <r>
      <rPr>
        <sz val="11"/>
        <color theme="1"/>
        <rFont val="Calibri"/>
        <family val="2"/>
      </rPr>
      <t>10 prefawit</t>
    </r>
  </si>
  <si>
    <t>10 bela</t>
  </si>
  <si>
    <r>
      <rPr>
        <sz val="11"/>
        <color theme="1"/>
        <rFont val="Calibri"/>
        <family val="2"/>
      </rPr>
      <t>10 prefavit</t>
    </r>
  </si>
  <si>
    <r>
      <rPr>
        <sz val="11"/>
        <color theme="1"/>
        <rFont val="Calibri"/>
        <family val="2"/>
      </rPr>
      <t>10 prefahvid</t>
    </r>
  </si>
  <si>
    <r>
      <rPr>
        <sz val="11"/>
        <color theme="1"/>
        <rFont val="Calibri"/>
        <family val="2"/>
      </rPr>
      <t>10 prefahvit</t>
    </r>
  </si>
  <si>
    <t>10 bijela</t>
  </si>
  <si>
    <t>10 P.10 prefaweiß</t>
  </si>
  <si>
    <t>10 P.10 white</t>
  </si>
  <si>
    <t>10 P.10 blanc prefa</t>
  </si>
  <si>
    <t>10 P.10 bianco Prefa</t>
  </si>
  <si>
    <t>10 P.10 bílá</t>
  </si>
  <si>
    <t>10 P.10 Biały</t>
  </si>
  <si>
    <t>10 P.10 prefafehér</t>
  </si>
  <si>
    <t>10 P.10 biela</t>
  </si>
  <si>
    <r>
      <rPr>
        <sz val="11"/>
        <color theme="1"/>
        <rFont val="Calibri"/>
        <family val="2"/>
      </rPr>
      <t>10 P.10 prefawit</t>
    </r>
  </si>
  <si>
    <t>10 P.10 bela</t>
  </si>
  <si>
    <r>
      <rPr>
        <sz val="11"/>
        <color theme="1"/>
        <rFont val="Calibri"/>
        <family val="2"/>
      </rPr>
      <t>10 P.10 prefavit</t>
    </r>
  </si>
  <si>
    <r>
      <rPr>
        <sz val="11"/>
        <color theme="1"/>
        <rFont val="Calibri"/>
        <family val="2"/>
      </rPr>
      <t>10 P.10 prefahvid</t>
    </r>
  </si>
  <si>
    <r>
      <rPr>
        <sz val="11"/>
        <color theme="1"/>
        <rFont val="Calibri"/>
        <family val="2"/>
      </rPr>
      <t>10 P.10 prefahvit</t>
    </r>
  </si>
  <si>
    <t>10 P.10 bijela</t>
  </si>
  <si>
    <t>QUADRATROHR</t>
  </si>
  <si>
    <t>SQUARE DOWNPIPE</t>
  </si>
  <si>
    <t>TUYAU DE DESCENTE CARRÉ</t>
  </si>
  <si>
    <t>PLUVIALE QUADRO</t>
  </si>
  <si>
    <t>RURY KWADRATOWE</t>
  </si>
  <si>
    <t>SZÖGLETES LEFOLYÓ</t>
  </si>
  <si>
    <t>ŠTVORCOVÝ ZVOD</t>
  </si>
  <si>
    <r>
      <rPr>
        <sz val="11"/>
        <color theme="1"/>
        <rFont val="Calibri"/>
        <family val="2"/>
      </rPr>
      <t>VIERKANTE BUIS</t>
    </r>
  </si>
  <si>
    <r>
      <rPr>
        <sz val="11"/>
        <color theme="1"/>
        <rFont val="Calibri"/>
        <family val="2"/>
      </rPr>
      <t>KVADRATRÖR</t>
    </r>
  </si>
  <si>
    <r>
      <rPr>
        <sz val="11"/>
        <color theme="1"/>
        <rFont val="Calibri"/>
        <family val="2"/>
      </rPr>
      <t>KVADRATRØR</t>
    </r>
  </si>
  <si>
    <r>
      <rPr>
        <sz val="11"/>
        <color theme="1"/>
        <rFont val="Calibri"/>
        <family val="2"/>
      </rPr>
      <t>FIRKANTRØR</t>
    </r>
  </si>
  <si>
    <t>KVADRATNA CIJEV</t>
  </si>
  <si>
    <t>Rinnendimension:</t>
  </si>
  <si>
    <t>Gutter dimensions:</t>
  </si>
  <si>
    <t>Développement :</t>
  </si>
  <si>
    <t>Sviluppo canale</t>
  </si>
  <si>
    <t>Rozměr žlabu</t>
  </si>
  <si>
    <t>Rozmiar rynny:</t>
  </si>
  <si>
    <t>Ereszcsatorna méretek:</t>
  </si>
  <si>
    <t>rozmery zľabov:</t>
  </si>
  <si>
    <r>
      <rPr>
        <sz val="11"/>
        <color theme="1"/>
        <rFont val="Calibri"/>
        <family val="2"/>
      </rPr>
      <t>Gootdimensie:</t>
    </r>
  </si>
  <si>
    <t>Dimenzije žleba</t>
  </si>
  <si>
    <r>
      <rPr>
        <sz val="11"/>
        <color theme="1"/>
        <rFont val="Calibri"/>
        <family val="2"/>
      </rPr>
      <t>Ränndimension:</t>
    </r>
  </si>
  <si>
    <r>
      <rPr>
        <sz val="11"/>
        <color theme="1"/>
        <rFont val="Calibri"/>
        <family val="2"/>
      </rPr>
      <t>Rendedimension:</t>
    </r>
  </si>
  <si>
    <r>
      <rPr>
        <sz val="11"/>
        <color theme="1"/>
        <rFont val="Calibri"/>
        <family val="2"/>
      </rPr>
      <t>Takrennedimensjon:</t>
    </r>
  </si>
  <si>
    <t>Dimenzija žlijeba:</t>
  </si>
  <si>
    <t>Rinnenlänge wählen:</t>
  </si>
  <si>
    <t>Select gutter length:</t>
  </si>
  <si>
    <t>Sélectionner la longueur de la gouttière :</t>
  </si>
  <si>
    <t>Selezionare lunghezza canale</t>
  </si>
  <si>
    <t>Zvolit délku žlabu</t>
  </si>
  <si>
    <t>Wybierz długość rynny:</t>
  </si>
  <si>
    <t>Ereszcsatorna hossza:</t>
  </si>
  <si>
    <t>voľba dĺžky zľabov:</t>
  </si>
  <si>
    <r>
      <rPr>
        <sz val="11"/>
        <color theme="1"/>
        <rFont val="Calibri"/>
        <family val="2"/>
      </rPr>
      <t>Gootlengte kiezen:</t>
    </r>
  </si>
  <si>
    <t>Izbira dolžine žičnikov</t>
  </si>
  <si>
    <r>
      <rPr>
        <sz val="11"/>
        <color theme="1"/>
        <rFont val="Calibri"/>
        <family val="2"/>
      </rPr>
      <t>Välj rännlängd:</t>
    </r>
  </si>
  <si>
    <r>
      <rPr>
        <sz val="11"/>
        <color theme="1"/>
        <rFont val="Calibri"/>
        <family val="2"/>
      </rPr>
      <t>Vælg rendelængde:</t>
    </r>
  </si>
  <si>
    <r>
      <rPr>
        <sz val="11"/>
        <color theme="1"/>
        <rFont val="Calibri"/>
        <family val="2"/>
      </rPr>
      <t>Velg takrennelengde:</t>
    </r>
  </si>
  <si>
    <t>Odabir duljine žlijeba:</t>
  </si>
  <si>
    <t>Rohrlänge wählen:</t>
  </si>
  <si>
    <t>Select downpipe length:</t>
  </si>
  <si>
    <t>Sélectionner la longueur du tuyau de descente :</t>
  </si>
  <si>
    <t>Selezionare lunghezza pluviale</t>
  </si>
  <si>
    <t>Zvolit délku svodu</t>
  </si>
  <si>
    <t>Wybierz długość rury:</t>
  </si>
  <si>
    <t>Lefolyócső hossza:</t>
  </si>
  <si>
    <t>voľba dĺžky zvodov:</t>
  </si>
  <si>
    <r>
      <rPr>
        <sz val="11"/>
        <color theme="1"/>
        <rFont val="Calibri"/>
        <family val="2"/>
      </rPr>
      <t>Buislengte kiezen:</t>
    </r>
  </si>
  <si>
    <t>Izbira dolžine cevi</t>
  </si>
  <si>
    <r>
      <rPr>
        <sz val="11"/>
        <color theme="1"/>
        <rFont val="Calibri"/>
        <family val="2"/>
      </rPr>
      <t>Välj rörlängd:</t>
    </r>
  </si>
  <si>
    <r>
      <rPr>
        <sz val="11"/>
        <color theme="1"/>
        <rFont val="Calibri"/>
        <family val="2"/>
      </rPr>
      <t>Vælg rørlængde:</t>
    </r>
  </si>
  <si>
    <r>
      <rPr>
        <sz val="11"/>
        <color theme="1"/>
        <rFont val="Calibri"/>
        <family val="2"/>
      </rPr>
      <t>Velg rørlengde:</t>
    </r>
  </si>
  <si>
    <t>Odabir duljine cijevi:</t>
  </si>
  <si>
    <t>03 black</t>
  </si>
  <si>
    <t>03 noir</t>
  </si>
  <si>
    <t>03 nero</t>
  </si>
  <si>
    <t>03 černá</t>
  </si>
  <si>
    <t>03 czarny</t>
  </si>
  <si>
    <t>03 fekete</t>
  </si>
  <si>
    <t>03 čierna</t>
  </si>
  <si>
    <r>
      <rPr>
        <sz val="11"/>
        <color theme="1"/>
        <rFont val="Calibri"/>
        <family val="2"/>
      </rPr>
      <t>03 zwart</t>
    </r>
  </si>
  <si>
    <t>03 črna</t>
  </si>
  <si>
    <r>
      <rPr>
        <sz val="11"/>
        <color theme="1"/>
        <rFont val="Calibri"/>
        <family val="2"/>
      </rPr>
      <t>03 svart</t>
    </r>
  </si>
  <si>
    <r>
      <rPr>
        <sz val="11"/>
        <color theme="1"/>
        <rFont val="Calibri"/>
        <family val="2"/>
      </rPr>
      <t>03 sort</t>
    </r>
  </si>
  <si>
    <t>03 crna</t>
  </si>
  <si>
    <t>Wandmontageplatte</t>
  </si>
  <si>
    <t>wall mounting plate</t>
  </si>
  <si>
    <t>plaque de montage mural</t>
  </si>
  <si>
    <t>Piastra per il montaggio a parete</t>
  </si>
  <si>
    <t>Montážní deska na stěnu</t>
  </si>
  <si>
    <t>Płyta montażowa do elewacji</t>
  </si>
  <si>
    <t>fali rögzítő lap</t>
  </si>
  <si>
    <t>montážna platňa</t>
  </si>
  <si>
    <t>wandmontageplaat</t>
  </si>
  <si>
    <t>plošča za montažo na zid</t>
  </si>
  <si>
    <t>väggmonteringsplatta</t>
  </si>
  <si>
    <t>vægmonteringsplade</t>
  </si>
  <si>
    <t>veggmonteringsplate</t>
  </si>
  <si>
    <t>ploča za montažu na zid</t>
  </si>
  <si>
    <t>04 brick red</t>
  </si>
  <si>
    <t>04 rouge tuile</t>
  </si>
  <si>
    <t>04 rosso cotto</t>
  </si>
  <si>
    <t>04 cihlově červená</t>
  </si>
  <si>
    <t>04 ceglasty</t>
  </si>
  <si>
    <t>04 téglavörös</t>
  </si>
  <si>
    <t>04 tehlovočervená</t>
  </si>
  <si>
    <r>
      <rPr>
        <sz val="11"/>
        <color theme="1"/>
        <rFont val="Calibri"/>
        <family val="2"/>
      </rPr>
      <t>04 dakpannenrood</t>
    </r>
  </si>
  <si>
    <t>04 bakreno rjava</t>
  </si>
  <si>
    <r>
      <rPr>
        <sz val="11"/>
        <color theme="1"/>
        <rFont val="Calibri"/>
        <family val="2"/>
      </rPr>
      <t>04 tegelröd</t>
    </r>
  </si>
  <si>
    <r>
      <rPr>
        <sz val="11"/>
        <color theme="1"/>
        <rFont val="Calibri"/>
        <family val="2"/>
      </rPr>
      <t>04 teglrød</t>
    </r>
  </si>
  <si>
    <r>
      <rPr>
        <sz val="11"/>
        <color theme="1"/>
        <rFont val="Calibri"/>
        <family val="2"/>
      </rPr>
      <t>04 teglsteinsrød</t>
    </r>
  </si>
  <si>
    <t>04 ciglasto crvena</t>
  </si>
  <si>
    <t>08 zinc grey</t>
  </si>
  <si>
    <t>08 gris de zinc</t>
  </si>
  <si>
    <t>08 grigio zinco</t>
  </si>
  <si>
    <t>08 zinkově šedá</t>
  </si>
  <si>
    <t>08 szarocynkowy</t>
  </si>
  <si>
    <t>08 cinkszürke</t>
  </si>
  <si>
    <t>08 zinkovošedá</t>
  </si>
  <si>
    <r>
      <rPr>
        <sz val="11"/>
        <color theme="1"/>
        <rFont val="Calibri"/>
        <family val="2"/>
      </rPr>
      <t>08 loodgrijs</t>
    </r>
  </si>
  <si>
    <t>08 cinkovo siva</t>
  </si>
  <si>
    <r>
      <rPr>
        <sz val="11"/>
        <color theme="1"/>
        <rFont val="Calibri"/>
        <family val="2"/>
      </rPr>
      <t>08 zinkgrå</t>
    </r>
  </si>
  <si>
    <r>
      <rPr>
        <sz val="11"/>
        <color theme="1"/>
        <rFont val="Calibri"/>
        <family val="2"/>
      </rPr>
      <t>08 sinkgrå</t>
    </r>
  </si>
  <si>
    <t>08 cink siva</t>
  </si>
  <si>
    <t>08 P.10 zinkgrau</t>
  </si>
  <si>
    <t>08 P.10 zinc grey</t>
  </si>
  <si>
    <t>08 P.10 gris de zinc</t>
  </si>
  <si>
    <t>08 P.10 grigio zinco</t>
  </si>
  <si>
    <t>08 P.10 zinkově šedá</t>
  </si>
  <si>
    <t>08 P.10 szarocynkowy</t>
  </si>
  <si>
    <t>08 P.10 cinkszürke</t>
  </si>
  <si>
    <t>08 P.10 zinkovošedá</t>
  </si>
  <si>
    <r>
      <rPr>
        <sz val="11"/>
        <color theme="1"/>
        <rFont val="Calibri"/>
        <family val="2"/>
      </rPr>
      <t>08 P.10 loodgrijs</t>
    </r>
  </si>
  <si>
    <t>08 P.10 cinkovo siva</t>
  </si>
  <si>
    <r>
      <rPr>
        <sz val="11"/>
        <color theme="1"/>
        <rFont val="Calibri"/>
        <family val="2"/>
      </rPr>
      <t>08 P.10 zinkgrå</t>
    </r>
  </si>
  <si>
    <r>
      <rPr>
        <sz val="11"/>
        <color theme="1"/>
        <rFont val="Calibri"/>
        <family val="2"/>
      </rPr>
      <t>08 P.10 sinkgrå</t>
    </r>
  </si>
  <si>
    <t>08 P.10 cink siva</t>
  </si>
  <si>
    <t>Dachrautenhaft 29 × 29</t>
  </si>
  <si>
    <t>rhomboid roof tile clip 29 × 29</t>
  </si>
  <si>
    <t>patte de fixation pour losanges de toiture 29 × 29</t>
  </si>
  <si>
    <t>Graffetta per Scaglia 29</t>
  </si>
  <si>
    <t>patentovaná příchytka pro falcované šablony 29x29</t>
  </si>
  <si>
    <t>Zaczep do dachówki romb 29 × 29</t>
  </si>
  <si>
    <t>hafter 29x29 tetőfedő rombuszhoz</t>
  </si>
  <si>
    <t>príponka na strešnú šablónu 29x29</t>
  </si>
  <si>
    <t>daklosangehechting 29 × 29</t>
  </si>
  <si>
    <t>patentno sidro za strešni romb 29x29</t>
  </si>
  <si>
    <t>takrombsfäste 29 × 29</t>
  </si>
  <si>
    <t>spænde til rudeformet tagplade 29 × 29</t>
  </si>
  <si>
    <t>feste for takstein 29 × 29</t>
  </si>
  <si>
    <t>učvršćivač za krovne rombove 29 × 29</t>
  </si>
  <si>
    <t>Rillennägel, NIRO</t>
  </si>
  <si>
    <t>stainless steel ring nails</t>
  </si>
  <si>
    <t>clou annelé inox</t>
  </si>
  <si>
    <t>Chiodo zigrinato in acciaio inox</t>
  </si>
  <si>
    <t>Vroubkované hřebíky, nerez</t>
  </si>
  <si>
    <t>NIRO Gwóźdź nierdzewny</t>
  </si>
  <si>
    <t>NIRO bordás szeg</t>
  </si>
  <si>
    <t>nerezové ryhované klince</t>
  </si>
  <si>
    <t>groefspijker NIRO</t>
  </si>
  <si>
    <t>narebreni žičniki iz nerjavečega jekla</t>
  </si>
  <si>
    <t>räfflad spik NIRO</t>
  </si>
  <si>
    <t>rillesøm NIRO</t>
  </si>
  <si>
    <t>riflet spiker RUSTFRITT STÅL</t>
  </si>
  <si>
    <t>nazubljeni čavao nehrđajući</t>
  </si>
  <si>
    <t>Kastenrinnen-Endboden, links 50</t>
  </si>
  <si>
    <t>box gutter end cap 500, left</t>
  </si>
  <si>
    <t>fond de gouttière carrée 500, gauche</t>
  </si>
  <si>
    <t>Testata per canale quadro sv. 500 - sinistra</t>
  </si>
  <si>
    <t>Čelo žlabu pro hranaté žlaby 500 levé</t>
  </si>
  <si>
    <t>Denko rynny prostokątnej 500 lewe</t>
  </si>
  <si>
    <t>négyszögszelvényű ereszcsatorna végelem 500 jobbos</t>
  </si>
  <si>
    <t>čelo hranatého žľabu 500 ľavé</t>
  </si>
  <si>
    <t>eindbodem bakgoot 500 links</t>
  </si>
  <si>
    <t>zapora za pravokotni žleb 500 levih</t>
  </si>
  <si>
    <t>lådrännebotten 500 vänster</t>
  </si>
  <si>
    <t>kasserendeendebund 500 venstre</t>
  </si>
  <si>
    <t>endebunn firkantrenne 500 venstre</t>
  </si>
  <si>
    <t>čelo sandučastog žlijeba 500 lijevo</t>
  </si>
  <si>
    <t>Kastenrinnen-Endboden, rechts 50</t>
  </si>
  <si>
    <t>box gutter end cap 500, right</t>
  </si>
  <si>
    <t>fond de gouttière carrée 500, droite</t>
  </si>
  <si>
    <t>Testata per canale quadro sv. 500 - destra</t>
  </si>
  <si>
    <t>Čelo žlabu pro hranaté žlaby 500 pravé</t>
  </si>
  <si>
    <t>Denko rynny prostokątnej 500 prawe</t>
  </si>
  <si>
    <t>négyszögszelvényű ereszcsatorna végelem 500 balos</t>
  </si>
  <si>
    <t>čelo hranatého žľabu 500 pravé</t>
  </si>
  <si>
    <t>eindbodem bakgoot 500 rechts</t>
  </si>
  <si>
    <t>zapora za pravokotni žleb, 500 desnih</t>
  </si>
  <si>
    <t>lådrännebotten 500 höger</t>
  </si>
  <si>
    <t>kasserendeendebund 500 højre</t>
  </si>
  <si>
    <t>endebunn firkantrenne 500 høyre</t>
  </si>
  <si>
    <t>čelo sandučastog žlijeba 500 desno</t>
  </si>
  <si>
    <t>45 bronzo</t>
  </si>
  <si>
    <t>45 bronz</t>
  </si>
  <si>
    <t>brązowy</t>
  </si>
  <si>
    <t>45 bronzová</t>
  </si>
  <si>
    <r>
      <rPr>
        <sz val="11"/>
        <color theme="1"/>
        <rFont val="Calibri"/>
        <family val="2"/>
      </rPr>
      <t>45 brons</t>
    </r>
  </si>
  <si>
    <t>45 bronasta</t>
  </si>
  <si>
    <r>
      <rPr>
        <sz val="11"/>
        <color theme="1"/>
        <rFont val="Calibri"/>
        <family val="2"/>
      </rPr>
      <t>45 bronze</t>
    </r>
  </si>
  <si>
    <r>
      <rPr>
        <sz val="11"/>
        <color theme="1"/>
        <rFont val="Calibri"/>
        <family val="2"/>
      </rPr>
      <t>45 bronse</t>
    </r>
  </si>
  <si>
    <t>45 bronca</t>
  </si>
  <si>
    <t>46 patina green</t>
  </si>
  <si>
    <t>46 vert-de-gris</t>
  </si>
  <si>
    <t>46 patina verde</t>
  </si>
  <si>
    <t>46 patina zelená</t>
  </si>
  <si>
    <t xml:space="preserve">szara patyna </t>
  </si>
  <si>
    <t>46 patina zöld</t>
  </si>
  <si>
    <r>
      <rPr>
        <sz val="11"/>
        <color theme="1"/>
        <rFont val="Calibri"/>
        <family val="2"/>
      </rPr>
      <t>46 patinagroen</t>
    </r>
  </si>
  <si>
    <t>46 patinirano zelena</t>
  </si>
  <si>
    <r>
      <rPr>
        <sz val="11"/>
        <color theme="1"/>
        <rFont val="Calibri"/>
        <family val="2"/>
      </rPr>
      <t>46 patina grön</t>
    </r>
  </si>
  <si>
    <r>
      <rPr>
        <sz val="11"/>
        <color theme="1"/>
        <rFont val="Calibri"/>
        <family val="2"/>
      </rPr>
      <t>46 patinagrøn</t>
    </r>
  </si>
  <si>
    <r>
      <rPr>
        <sz val="11"/>
        <color theme="1"/>
        <rFont val="Calibri"/>
        <family val="2"/>
      </rPr>
      <t>46 patina grønn</t>
    </r>
  </si>
  <si>
    <t>46 patina zelena</t>
  </si>
  <si>
    <t>23 black gray</t>
  </si>
  <si>
    <t>23 gris noir</t>
  </si>
  <si>
    <t>23 nero grigio</t>
  </si>
  <si>
    <t>23 černě šedá</t>
  </si>
  <si>
    <t>ciemnoszary</t>
  </si>
  <si>
    <t>23 fekete szürke</t>
  </si>
  <si>
    <t>23 čierna sivá</t>
  </si>
  <si>
    <r>
      <rPr>
        <sz val="11"/>
        <color theme="1"/>
        <rFont val="Calibri"/>
        <family val="2"/>
      </rPr>
      <t>23 zwartgrijs</t>
    </r>
  </si>
  <si>
    <t>23 črna siva</t>
  </si>
  <si>
    <r>
      <rPr>
        <sz val="11"/>
        <color theme="1"/>
        <rFont val="Calibri"/>
        <family val="2"/>
      </rPr>
      <t>23 svartgrå</t>
    </r>
  </si>
  <si>
    <r>
      <rPr>
        <sz val="11"/>
        <color theme="1"/>
        <rFont val="Calibri"/>
        <family val="2"/>
      </rPr>
      <t>23 sortgrå</t>
    </r>
  </si>
  <si>
    <t>23 crno siva</t>
  </si>
  <si>
    <t>47 patina gray</t>
  </si>
  <si>
    <t>47 gris quartz</t>
  </si>
  <si>
    <t>47 patina grigia</t>
  </si>
  <si>
    <t>47 patina šedá</t>
  </si>
  <si>
    <t>47 patina szürke</t>
  </si>
  <si>
    <r>
      <rPr>
        <sz val="11"/>
        <color theme="1"/>
        <rFont val="Calibri"/>
        <family val="2"/>
      </rPr>
      <t>47 patinagrijs</t>
    </r>
  </si>
  <si>
    <t>47 patinirano siva</t>
  </si>
  <si>
    <r>
      <rPr>
        <sz val="11"/>
        <color theme="1"/>
        <rFont val="Calibri"/>
        <family val="2"/>
      </rPr>
      <t>47 patina grå</t>
    </r>
  </si>
  <si>
    <r>
      <rPr>
        <sz val="11"/>
        <color theme="1"/>
        <rFont val="Calibri"/>
        <family val="2"/>
      </rPr>
      <t>47 patinagrå</t>
    </r>
  </si>
  <si>
    <t>47 patina siva</t>
  </si>
  <si>
    <t>Artikel Nr.</t>
  </si>
  <si>
    <t>Article no.</t>
  </si>
  <si>
    <t>Articolo no.</t>
  </si>
  <si>
    <t>Článek č.</t>
  </si>
  <si>
    <t>Artykuł nr</t>
  </si>
  <si>
    <t>Cikkszám</t>
  </si>
  <si>
    <t>Článok č.</t>
  </si>
  <si>
    <r>
      <rPr>
        <sz val="11"/>
        <color theme="1"/>
        <rFont val="Calibri"/>
        <family val="2"/>
      </rPr>
      <t>Artikelnr.</t>
    </r>
  </si>
  <si>
    <t>Člen št.</t>
  </si>
  <si>
    <r>
      <rPr>
        <sz val="11"/>
        <color theme="1"/>
        <rFont val="Calibri"/>
        <family val="2"/>
      </rPr>
      <t>Artikelnummer</t>
    </r>
  </si>
  <si>
    <r>
      <rPr>
        <sz val="11"/>
        <color theme="1"/>
        <rFont val="Calibri"/>
        <family val="2"/>
      </rPr>
      <t>Artikkelnr.</t>
    </r>
  </si>
  <si>
    <t>Br. artikla</t>
  </si>
  <si>
    <t>17 P.10 reinweiß</t>
  </si>
  <si>
    <t>17 P.10 pure white</t>
  </si>
  <si>
    <t>17 P.10 blanc pur</t>
  </si>
  <si>
    <t>17 P.10 bianco puro</t>
  </si>
  <si>
    <t>17 P.10 čistě bílá</t>
  </si>
  <si>
    <t>17 P.10 czysta biel</t>
  </si>
  <si>
    <t>17 P.10 tisztafehér</t>
  </si>
  <si>
    <t>17 P.10 čistá biela</t>
  </si>
  <si>
    <t>17 P.10 zuiver wit</t>
  </si>
  <si>
    <t>17 P.10 Bele</t>
  </si>
  <si>
    <t>17 P.10 renvit</t>
  </si>
  <si>
    <t>17 P.10 Renhvid Ral 9010</t>
  </si>
  <si>
    <t>17 P.10 Renhvit</t>
  </si>
  <si>
    <t>17 P.10 bijela</t>
  </si>
  <si>
    <t>19 P.10 dunkelgrau</t>
  </si>
  <si>
    <t>19 P.10 dark grey</t>
  </si>
  <si>
    <t>19 P.10 gris sombre</t>
  </si>
  <si>
    <t>19 P.10 grigio scuro</t>
  </si>
  <si>
    <t>19 P.10 tmavě šedá</t>
  </si>
  <si>
    <t>19 P.10 ciemnoszary</t>
  </si>
  <si>
    <t>19 P.10 grafitszürke</t>
  </si>
  <si>
    <t>19 P.10 tmavošedá</t>
  </si>
  <si>
    <t>19 P.10 donkergrijs</t>
  </si>
  <si>
    <t>19 P.10 Tamno siva</t>
  </si>
  <si>
    <t>19 P.10 mörkgrå</t>
  </si>
  <si>
    <t>19 P.10 Mørk grå ral 7043</t>
  </si>
  <si>
    <t>19 P.10 Mørk grå</t>
  </si>
  <si>
    <t>19 P.10 tamno siva</t>
  </si>
  <si>
    <t>Dichtschraube NIRO, 4,5x25</t>
  </si>
  <si>
    <t>Stainless steel screw with sealing washer 4,5 x 25 mm without drill point</t>
  </si>
  <si>
    <t>Vis inox avec rondelle d'étanchéité 4,5 x 25 mm sans vis autoperceuse</t>
  </si>
  <si>
    <t>Vite in acciaio inox 4,5x25mm con rondella di tenuta. Punta non autoforante</t>
  </si>
  <si>
    <t>Śruba ze stali nierdzewnej z podkładką uszczelniającą 4,5 x 25 mm bez końcówki wiercącej</t>
  </si>
  <si>
    <t>Rozsdamentes tömített csavar 4,5 x 25 mm, nem önmetsző</t>
  </si>
  <si>
    <t>Skrutka z nehrdzavejúcej ocele s tesniacim krúžkom 4,5 x 25 mm bez vrtného hrotu</t>
  </si>
  <si>
    <t>RVS SCHROEF MET AFDICHTRING 4,5 x 25 mm zonder boorpunt</t>
  </si>
  <si>
    <t>ROSTFRI SKRUV
MED TÄTNINGSBRICKA 4,5 x 25 mm: utan borrspets</t>
  </si>
  <si>
    <t>SKRUE AF RUSTFAST STÅL
MED TÆTNINGSSKIVE 4,5 x 25 mm uden borespids</t>
  </si>
  <si>
    <t>SKRUE I RUSTFRITT STÅL
MED TETNINGSSKIVE 4,5 x 25 mm: uten borspiss</t>
  </si>
  <si>
    <t>Nehrđajući vijak s brtvenom pločicom 4,5 x 25 mm bez samoreznog vrha</t>
  </si>
  <si>
    <t>Laufstegstütze FT250, inkl. Zubehör</t>
  </si>
  <si>
    <t>walkway support on one mount</t>
  </si>
  <si>
    <t>Support de chemin de circulation fixé sur une platine</t>
  </si>
  <si>
    <t xml:space="preserve">Staffa per griglia pedonabile con 1 base circolare di fissaggio </t>
  </si>
  <si>
    <t>Wspornik ławy kominiarskiej z jedną stopą</t>
  </si>
  <si>
    <t>járórács tartó elem egy tányér-talppal</t>
  </si>
  <si>
    <t>držiak strešnej lávky s jedným podstavcom</t>
  </si>
  <si>
    <t>LOOPROOSTERSTEUN
OP ÉÉN VOET</t>
  </si>
  <si>
    <t>KONSOL FÖR GÅNGBRYGGA
MED EN FOTDEL</t>
  </si>
  <si>
    <t>STØTTE TIL
INSTALLATIONSGANG
PÅ EN FODDEL</t>
  </si>
  <si>
    <t>PLATTFORMSTØTTE
PÅ ÉN UNDERDEL</t>
  </si>
  <si>
    <t>nosač stepenice na jednoj stopi</t>
  </si>
  <si>
    <t>Laufstegstütze auf zwei Fussteilen, geprüft nach EN 516-1-B (360 mm)</t>
  </si>
  <si>
    <t>walkway support on two mounts</t>
  </si>
  <si>
    <t>PREFASupport de chemin de circulation fixé sur deux platines</t>
  </si>
  <si>
    <t>Staffa per griglia pedonabile con 2 basi circolari di fissaggio</t>
  </si>
  <si>
    <t>Wspornik ławy kominiarskiej z dwiema stopami</t>
  </si>
  <si>
    <t>járórács tartó elem két tányér-talppal</t>
  </si>
  <si>
    <t>držiak strešnej lávky s dvomi podstavcami</t>
  </si>
  <si>
    <t>LOOPROOSTERSTEUN
OP TWEE VOETEN</t>
  </si>
  <si>
    <t>KONSOL FÖR GÅNGBRYGGA
MED TVÅ FOTDELAR</t>
  </si>
  <si>
    <t>STØTTE TIL
INSTALLATIONSGANG
PÅ TO FODDELE</t>
  </si>
  <si>
    <t>PLATTFORMSTØTTE
PÅ TO UNDERDELER</t>
  </si>
  <si>
    <t>nosač stepenice na dvije stope</t>
  </si>
  <si>
    <t xml:space="preserve">Laufsteg 360x800mm, inkl. Befestigung </t>
  </si>
  <si>
    <t>walkway (360 x 800 mm)</t>
  </si>
  <si>
    <t>Chemin de circulation (360 x 800 mm)</t>
  </si>
  <si>
    <t>Griglia pedonabile (360 x 800 mm)</t>
  </si>
  <si>
    <t>Ława kominiarska (360 x 800 mm)</t>
  </si>
  <si>
    <t>járórács (360 x 800 mm)</t>
  </si>
  <si>
    <t>strešná lávka (360 x 800 mm)</t>
  </si>
  <si>
    <t>LOOPROOSTER (360 x 800 mm)</t>
  </si>
  <si>
    <t>GÅNGBRYGGA (360 x 800 mm)</t>
  </si>
  <si>
    <t>INSTALLATIONSGANG</t>
  </si>
  <si>
    <t>PLATTFORM (360 x 800 mm)</t>
  </si>
  <si>
    <t>stepenica (360 x 800 mm)</t>
  </si>
  <si>
    <t xml:space="preserve">Laufsteg 360x1200mm, inkl. Befestigung </t>
  </si>
  <si>
    <t>walkway (360 x 1.200 mm)</t>
  </si>
  <si>
    <t>Chemin de circulation (360 x 1.200 mm)</t>
  </si>
  <si>
    <t>Griglia pedonabile (360 x 1.200 mm)</t>
  </si>
  <si>
    <t>Ława kominiarska (360 x 1.200 mm)</t>
  </si>
  <si>
    <t>járórács (360 x 1.200 mm)</t>
  </si>
  <si>
    <t>strešná lávka (360 x 1.200 mm)</t>
  </si>
  <si>
    <t>LOOPROOSTER (360 x 1.200 mm)</t>
  </si>
  <si>
    <t>GÅNGBRYGGA (360 x 1.200 mm)</t>
  </si>
  <si>
    <t>PLATTFORM (360 x 1.200 mm)</t>
  </si>
  <si>
    <t>stepenica (360 x 1.200 mm)</t>
  </si>
  <si>
    <t>Laufstegverbinder 250mm breit</t>
  </si>
  <si>
    <t>walkway connector - width of 250 mm</t>
  </si>
  <si>
    <t>Element d'assemblage pour chemin de circulation 250 mm</t>
  </si>
  <si>
    <t>Giunto zincato per griglia pedonabile larghezza 250 mm</t>
  </si>
  <si>
    <t>Łącznik ławy kominiarskiej szerokości 250 mm, ocynkowany</t>
  </si>
  <si>
    <t>járórács összekötő elem horganyzott 250 mm</t>
  </si>
  <si>
    <t>pozinkovaná spojka na spojenie strešných lávok šírky 250 mm</t>
  </si>
  <si>
    <t>VERBINDINGSSTUK verzinkt VOOR
LOOPROOSTER breedte 250 mm</t>
  </si>
  <si>
    <t>ANSLUTNING förzinkat
TILL GÅNGBRYGGA bredd 250 mm</t>
  </si>
  <si>
    <t>FORBINDER galvaniseret TIL
INSTALLATIONSGANG bredde 250 mm</t>
  </si>
  <si>
    <t>TILKOBLING galvanisert FOR
PLATTFORM bredde 250 mm</t>
  </si>
  <si>
    <t>spojni element pocinčani za stepenicu širine 250 mm</t>
  </si>
  <si>
    <t>Laufstegverbinder 360mm breit</t>
  </si>
  <si>
    <t>walkway connector - width of 360 mm</t>
  </si>
  <si>
    <t>Element d'assemblage pour chemin de circulation 360 mm</t>
  </si>
  <si>
    <t>Giunto zincato per griglia pedonabile larghezza 360 mm</t>
  </si>
  <si>
    <t>Łącznik ławy kominiarskiej szerokości 360 mm, ocynkowany</t>
  </si>
  <si>
    <t>járórács összekötő elem horganyzott 360 mm</t>
  </si>
  <si>
    <t>pozinkovaná spojka na spojenie strešných lávok šírky 360 mm</t>
  </si>
  <si>
    <t>VERBINDINGSSTUK verzinkt VOOR
LOOPROOSTER breedte 360 mm</t>
  </si>
  <si>
    <t>ANSLUTNING förzinkat
TILL GÅNGBRYGGA bredd 360 mm</t>
  </si>
  <si>
    <t>FORBINDER galvaniseret TIL
INSTALLATIONSGANG bredde 360 mm</t>
  </si>
  <si>
    <t>TILKOBLING galvanisert FOR
PLATTFORM bredde 360 mm</t>
  </si>
  <si>
    <t>spojni element pocinčani za stepenicu širine 360 mm</t>
  </si>
  <si>
    <t>SDH Schraubensatz f.Aufsparrendäm.</t>
  </si>
  <si>
    <t>screw pack for above rafter insulation</t>
  </si>
  <si>
    <t>Paquet de vis pour isolation sur chevrons</t>
  </si>
  <si>
    <t>Kit viteria per fissaggi su trave</t>
  </si>
  <si>
    <t>Pakiet śrub do montażu dokrowiowego</t>
  </si>
  <si>
    <t>csavarszett szarufa feletti hőszigeteléshez</t>
  </si>
  <si>
    <t>balík kotevných skrutiek pre nadkrokvovú izoláciu</t>
  </si>
  <si>
    <t xml:space="preserve">SCHROEVENPAKKET VOOR
ISOLATIE OP DE KEPERS </t>
  </si>
  <si>
    <t>SKRUVPAKET
FÖR UTVÄNDIG ISOLERING</t>
  </si>
  <si>
    <t>SKRUEPAKKE TIL
ISOLERING OVEN PÅ SPÆR</t>
  </si>
  <si>
    <t>SKRUEPAKKE FOR
MONTERING OVER
TAKSPERRENE</t>
  </si>
  <si>
    <t>paket vijaka za rogove</t>
  </si>
  <si>
    <t>SDH Bohrsatz,für Aufsparrendämmung</t>
  </si>
  <si>
    <t>Materiel de montage pour isolation sur chevrons</t>
  </si>
  <si>
    <t>Kit di montaggio per fissaggio su trave</t>
  </si>
  <si>
    <t>Pakiet montażowy dokrokwiowy</t>
  </si>
  <si>
    <t>rögzítési egységcsomag szarufa feletti hőszigeteléshez</t>
  </si>
  <si>
    <t>montážny balík na ukotvenie</t>
  </si>
  <si>
    <t>MONTAGEPAKKET VOOR
ISOLATIE OP DE KEPERS</t>
  </si>
  <si>
    <t>MONTAGEPAKET
FÖR UTVÄNDIG ISOLERING</t>
  </si>
  <si>
    <t>PAKKE TIL BRUG VED
MONTERING OVEN PÅ SPÆR</t>
  </si>
  <si>
    <t>MONTERINGSPAKKE
FOR MONTERING OVER
TAKSPERRENE</t>
  </si>
  <si>
    <t>paket za montažu iznad rogova</t>
  </si>
  <si>
    <t>ROTO Einfassung-Q-Serie</t>
  </si>
  <si>
    <t>flashings for Roto Q Series</t>
  </si>
  <si>
    <t>Entourages pour fenêtres ROTO-Q Stucco</t>
  </si>
  <si>
    <t>Conversa goffrata per Roto Serie Q</t>
  </si>
  <si>
    <t>Kołnierz do okien Roto-seria-Q, stucco</t>
  </si>
  <si>
    <t>beépítő keret Roto-Q-sorozathoz, stukkó</t>
  </si>
  <si>
    <t>lemovanie pre strešné okná série Roto-Q stucco</t>
  </si>
  <si>
    <t>OMRANDINGEN
VOOR ROTO-Q-SERIE
STUCCO</t>
  </si>
  <si>
    <t>TÄCKNINGSPLÅTAR
FÖR ROTO-Q-SERIEN
STUCCO</t>
  </si>
  <si>
    <t>INDFATNINGER TIL ROTO-Q
SERIEN
STUCCO</t>
  </si>
  <si>
    <t>OMRAMMINGER
FOR ROTO-Q-SERIE
STUCCO</t>
  </si>
  <si>
    <t>opšav za Roto-Q seriju stucco</t>
  </si>
  <si>
    <t>DACHSCHINDEL DS.19</t>
  </si>
  <si>
    <t>DS.19 shingle</t>
  </si>
  <si>
    <t>Bardeau DS.19</t>
  </si>
  <si>
    <t>SCANDOLA DS.19</t>
  </si>
  <si>
    <t>Dachówka łupkowa DS.19</t>
  </si>
  <si>
    <t>TETŐFEDŐ ZSINDELY DS.19</t>
  </si>
  <si>
    <t>FALCOVANÝ ŠINDEĽ DS.19</t>
  </si>
  <si>
    <t>DAKSCHINDEL DS.19</t>
  </si>
  <si>
    <t>TAKSHINGEL DS.19</t>
  </si>
  <si>
    <t>TAGSPÅN DS.19</t>
  </si>
  <si>
    <t>KROVNA ŠINDRA DS.19</t>
  </si>
  <si>
    <t>Dachschindel DS.19</t>
  </si>
  <si>
    <t>DS.19 shingle (480 × 262 mm)</t>
  </si>
  <si>
    <t>Bardeau DS.19 (480 × 262 mm)</t>
  </si>
  <si>
    <t>Scandola (480 × 262 mm)</t>
  </si>
  <si>
    <t>Dachówka łupkowa (480 × 262 mm)</t>
  </si>
  <si>
    <t>tetőfedő zsindely (480 × 262 mm)</t>
  </si>
  <si>
    <t>falcovaný šindeľ (480 × 262 mm)</t>
  </si>
  <si>
    <t>DAKSCHINDEL (480 x 262 mm)</t>
  </si>
  <si>
    <t>TAKSHINGEL (480 × 262 mm)</t>
  </si>
  <si>
    <t>TAGSPÅN</t>
  </si>
  <si>
    <t>TAKSHINGEL</t>
  </si>
  <si>
    <t>krovna šindra (480 x 262 mm)</t>
  </si>
  <si>
    <t>Passschindel DS.19</t>
  </si>
  <si>
    <t>fitting shingle DS.19</t>
  </si>
  <si>
    <t>Bardeau de raccordement DS.19</t>
  </si>
  <si>
    <t>Scandola di adattamento DS.19</t>
  </si>
  <si>
    <t>Dachówka łupkowa uzupełniająca DS.19</t>
  </si>
  <si>
    <t>illesztőzsindely DS.19</t>
  </si>
  <si>
    <t>pásový šindeľ DS.19</t>
  </si>
  <si>
    <t>PASSCHINDEL DS.19</t>
  </si>
  <si>
    <t>PASS-SHINGEL DS.19</t>
  </si>
  <si>
    <t>PASSPÅN DS.19</t>
  </si>
  <si>
    <t>MONTERINGSSHINGEL
DS.19</t>
  </si>
  <si>
    <t>šindra za prilagodbu DS.19</t>
  </si>
  <si>
    <t>Holzrahmen (Innenmaß: 595x595 mm)</t>
  </si>
  <si>
    <t>Wodden frame (inside dimensions: 595x595 mm)</t>
  </si>
  <si>
    <t>Châssis en bois (Mesure intérieure: 595x595 mm)</t>
  </si>
  <si>
    <t>Telaio in legno (dimensioni interne: 595x595 mm)</t>
  </si>
  <si>
    <t>Rama wyłazowa drewniana wymiar wewnętrzny 595x595 mm)</t>
  </si>
  <si>
    <t>Fakeret (belső méret: 595x595 mm)</t>
  </si>
  <si>
    <t>Drevený rám (vnútorný rozmer: 595x595 mm)</t>
  </si>
  <si>
    <t>HOUTEN OMRANDING (595x595 mm)</t>
  </si>
  <si>
    <t>TRÄRAM (invändigt mått:
595×595 mm)</t>
  </si>
  <si>
    <t>TRÆRAMME
indvendigt mål:
595×595 mm</t>
  </si>
  <si>
    <t>TRERAMME
innvendig mål:
595×595 mm</t>
  </si>
  <si>
    <t>Drveni okvir (unutarnja mjera: 595x595 mm)</t>
  </si>
  <si>
    <t>roof hatch cover (without wooden frame)</t>
  </si>
  <si>
    <t>Ouvrant de tabatière (sans châssis en bois)</t>
  </si>
  <si>
    <t>Coperchio per passo uomo (senza telaio in legno)</t>
  </si>
  <si>
    <t>Pokrywa wyłazu dachowego (bez ramy wyłazowej)</t>
  </si>
  <si>
    <t>tetőkibúvó ablak (fakeret nélkül)</t>
  </si>
  <si>
    <t>kryt na povalové okno (bez dreveného rámu)</t>
  </si>
  <si>
    <t>DAKLUIKDEKSEL (zonder
HOUTEN OMRANDING)</t>
  </si>
  <si>
    <t>TAKLUCKEKÅPA (utan TRÄRAM)</t>
  </si>
  <si>
    <t>TAGLUGEDÆKSEL uden
TRÆRAMME</t>
  </si>
  <si>
    <t>DEKSEL FOR TAKLUKE (uten
TRERAMME)</t>
  </si>
  <si>
    <t>poklopac za izlazni krovni prozor (bez drvenog okvira)</t>
  </si>
  <si>
    <t>Roof window flashing for PREFALZ</t>
  </si>
  <si>
    <t>Abergement de fenêtre de toit pour PREFALZ</t>
  </si>
  <si>
    <t>Conversa finestra per tetti a bassa pendenza per PREFALZ</t>
  </si>
  <si>
    <t>Kołnierz do okien dachowych do blach PREFALZ</t>
  </si>
  <si>
    <t>Beépítő keret tetősíkablakhoz PREFALZ fedéshez</t>
  </si>
  <si>
    <t>Lemovanie strešného okna pre PREFALZ</t>
  </si>
  <si>
    <t>DAKVENSTEROMRANDING
VOOR PREFALZ</t>
  </si>
  <si>
    <t>TAKFÖNSTERINFATTNING
FÖR PREFALZ</t>
  </si>
  <si>
    <t>TAGFLADEINDFATNINGER
TIL PREFALZ</t>
  </si>
  <si>
    <t>OMRAMMING FOR
TAKVINDU, PREFALZ</t>
  </si>
  <si>
    <t>Opšav za ležeći krovni prozor za PREFALZ</t>
  </si>
  <si>
    <t xml:space="preserve">Rohrschellendorn, für Dübel </t>
  </si>
  <si>
    <t>pipe bracket for ETICS pipe bracket plug Ø 10</t>
  </si>
  <si>
    <t>Goujon de collier pour cheville d'isolation  Ø 10 pour collier (ITE)</t>
  </si>
  <si>
    <t>Chiodo per collare per facciate retroventilate - Tassello Ø 10</t>
  </si>
  <si>
    <t>Trzpień wbijany do obejmy WDVS - kołek montażowy Ø 10</t>
  </si>
  <si>
    <t>passzívház-csavar passzívház dübelhez Ø 10</t>
  </si>
  <si>
    <t>tŕň s krytkou pre hmoždinky do kontaktného zatepľovacieho systému Ø 10</t>
  </si>
  <si>
    <t>INSLAGPEN VOOR ETICSPIJPBEUGELPLUG
∅ 10</t>
  </si>
  <si>
    <t>RÖRSVEPSDORN
FÖR PLUGG ∅ 10</t>
  </si>
  <si>
    <t>RØRSPÆNDEBÅNDSDORN
TIL WDVSRØRSPÆNDEBÅNDSDYBEL
∅ 10</t>
  </si>
  <si>
    <t>RØRKLEMMESKRUE
FOR WDVS-PLUGG FOR
RØRKLEMME ∅ 10</t>
  </si>
  <si>
    <t>trn cijevne obujmice za tiplu cijevne obujmice Ø 10 za toplinsku fasadu</t>
  </si>
  <si>
    <t>WDVS-Rohrschellendübel Ø 10</t>
  </si>
  <si>
    <t>ETICS pipe bracket plug Ø 10</t>
  </si>
  <si>
    <t>Cheville d'isolation Ø 10 pour collier (ITE)</t>
  </si>
  <si>
    <t>Tassello Ø 10 per chiodo collare per facciate retroventilate</t>
  </si>
  <si>
    <t>Kołek montażowy Ø 10 WDVS do trzpieni wbijanych</t>
  </si>
  <si>
    <t>passzívház dübel Ø 10</t>
  </si>
  <si>
    <t>hmoždinka do kontaktného zatepľovacieho systému Ø 10</t>
  </si>
  <si>
    <t>ETICS-PIJPBEUGELPLUG ∅ 10</t>
  </si>
  <si>
    <t>PLUGG
FÖR ENSTEGSTÄTNING ∅ 10</t>
  </si>
  <si>
    <t xml:space="preserve">WDVS-RØRSPÆNDEBÅNDSDYBEL
∅ 10 </t>
  </si>
  <si>
    <t>WDVS-PLUGG FOR
RØRKLEMME ∅ 10</t>
  </si>
  <si>
    <t>tipla cijevne obujmice Ø 10 za toplinsku fasadu</t>
  </si>
  <si>
    <t>rubber seal for connecting the downpipes and sleeves to the high-temperature and foul drainage pipe</t>
  </si>
  <si>
    <t>Joint de caoutchouc Pour le raccordement des tuyaux de descente
et des manchons de jonction aux tuyaux haute
température ou aux canalisations souterraines.</t>
  </si>
  <si>
    <t>Guarnizione in gomma per raccordo del pluviale al tubo HT o KG</t>
  </si>
  <si>
    <t>Uszczelka gumowa do łączenia rur spustowych i muf w rury HT lub KG 110</t>
  </si>
  <si>
    <t>gumitömítés lefolyócsőhöz, HT-vagy KG-csőbe bevezetéshez</t>
  </si>
  <si>
    <t>gumené tesnenie pre napojenie dažďového zvodu a spojky do HT alebo KG rúry</t>
  </si>
  <si>
    <t>RUBBER AFDICHTING Voor het aansluiten van de afvoerbuizen en moffen op de HT- of rioolbuis.</t>
  </si>
  <si>
    <t>GUMMITÄTNING för anslutning av stuprör och muffar till markrör.</t>
  </si>
  <si>
    <t>GUMMITÆTNING Til tilslutning af afløbsrør og muffer til højtemperaturrør eller grundrør.</t>
  </si>
  <si>
    <t>GUMMITETNING For tilkobling av nedløpsrør og muffer i høytemperatur-
eller spillvannsrør.</t>
  </si>
  <si>
    <t>gumena brtva za priključak odvodnih cijevi i čahura u HT ili KG cijev</t>
  </si>
  <si>
    <t>Stutzen mit Klebeflansch DM 58 mm</t>
  </si>
  <si>
    <t>Outlet with bonding flange, suitable for ∅ 60 downpipes</t>
  </si>
  <si>
    <t>Reduction de tuyau pour tuyaux de descente Ø 60</t>
  </si>
  <si>
    <t>Manicotto con flangia ad incollaggio per pluviale Ø 60</t>
  </si>
  <si>
    <t>Wylot z wyklejanym kołnierzem do rur spustowych Ø 60</t>
  </si>
  <si>
    <t xml:space="preserve"> Ø 60 lefolyócsőhöz ragasztahtó betorkolló stucni</t>
  </si>
  <si>
    <t>Hrdlo s lemom pre lepenie vhodné pre dažďový zvod Ø 60</t>
  </si>
  <si>
    <t>TRECHTERUITLOOP MET
VERLIJMBARE FLENS Geschikt voor afvoerbuis ∅ 60.</t>
  </si>
  <si>
    <t>RÖRANSLUTNING
MED LIMFLÄNS för stuprör ∅ 60.</t>
  </si>
  <si>
    <t>STUDS MED KLÆBEFLANGE Passer til afløbsrør ∅ 60.</t>
  </si>
  <si>
    <t>STUSS MED LIMFLENS Passer til nedløpsrør ∅ 60.</t>
  </si>
  <si>
    <t>Nastavak s lijepljenom prirubnicom prikladan za odvodnu cijev Ø 60</t>
  </si>
  <si>
    <t>Ersatzgitter für Regenklappe</t>
  </si>
  <si>
    <t>replacement grid for downpipe cleanout</t>
  </si>
  <si>
    <t>Grille de rechange pour récupérateur d'eau</t>
  </si>
  <si>
    <t>Griglia di ricambio per deviatore con ispezione</t>
  </si>
  <si>
    <t>Kratka wymienna do rewizji rury</t>
  </si>
  <si>
    <t>pótrács vízlopóhoz</t>
  </si>
  <si>
    <t>náhradná mriežka pre klapku pre zber dažďovej vody</t>
  </si>
  <si>
    <t>VERVANGEND ROOSTER
VOOR WATERKLEP</t>
  </si>
  <si>
    <t>ERSÄTTNINGSGALLER
TILL FÄLLBAR UTKASTARE</t>
  </si>
  <si>
    <t>EKSTRA GITTER TIL
VANDUDVISER</t>
  </si>
  <si>
    <t>RESERVERIST TIL FELLBART
UTKAST</t>
  </si>
  <si>
    <t>rezervna rešetka za kišnu klapnu</t>
  </si>
  <si>
    <t>Schiebemuffe</t>
  </si>
  <si>
    <t>sliding sleeve</t>
  </si>
  <si>
    <t>Manchon coulissant</t>
  </si>
  <si>
    <t>Manicotto scorrevole</t>
  </si>
  <si>
    <t>Mufa przesuwna</t>
  </si>
  <si>
    <t>feltolható becsatlakozás</t>
  </si>
  <si>
    <t>posuvná spojka</t>
  </si>
  <si>
    <t>SCHUIFMOF</t>
  </si>
  <si>
    <t>BRUNNSUTKASTARE</t>
  </si>
  <si>
    <t>GLIDEMUFFE</t>
  </si>
  <si>
    <t>SKYVEMUFFE</t>
  </si>
  <si>
    <t>klizna čahura</t>
  </si>
  <si>
    <t>Wasserfangkasten Rund</t>
  </si>
  <si>
    <t>Round leader head</t>
  </si>
  <si>
    <t>Boîte à eau ronde</t>
  </si>
  <si>
    <t>Cassetta di scarico arrotondata</t>
  </si>
  <si>
    <t>Kosz zlewiskowy okrągły</t>
  </si>
  <si>
    <t>Vízgyűjtőüst kerek</t>
  </si>
  <si>
    <t>Okrúhly zberný kotlík</t>
  </si>
  <si>
    <t>vergaarbak rond "type junior"</t>
  </si>
  <si>
    <t>VATTENKUPA RUND</t>
  </si>
  <si>
    <t>VANDOPSAMLINGSKASSE
RUND</t>
  </si>
  <si>
    <t>VANNOPPSAMLER, RUND</t>
  </si>
  <si>
    <t>Kutija za prihvat vode okrugla</t>
  </si>
  <si>
    <t>Rinnenwulstöffner</t>
  </si>
  <si>
    <t>gutter bead opener</t>
  </si>
  <si>
    <t>Ouvre-Boudin</t>
  </si>
  <si>
    <t>Apriricciolo</t>
  </si>
  <si>
    <t>Rozginacz wulstfy rynny</t>
  </si>
  <si>
    <t>Viulcninyitó</t>
  </si>
  <si>
    <t>otvárač návalkov</t>
  </si>
  <si>
    <t>KRAALOPENER</t>
  </si>
  <si>
    <t>RÄNNVULSTÖPPNARE</t>
  </si>
  <si>
    <t>RENDEVULSTÅBNER</t>
  </si>
  <si>
    <t>TAKRENNEKANTÅPNER</t>
  </si>
  <si>
    <t>otvarač žlijebnog obruba</t>
  </si>
  <si>
    <t>Leitersicherung</t>
  </si>
  <si>
    <t>ladder stabilizer</t>
  </si>
  <si>
    <t>Stabilisateur d'échelle</t>
  </si>
  <si>
    <t>Sicura per scale</t>
  </si>
  <si>
    <t>Zabezpieczenie do drabiny</t>
  </si>
  <si>
    <t>létrabiztosító</t>
  </si>
  <si>
    <t>zaisťovač rebríka</t>
  </si>
  <si>
    <t>LADDERBEVEILIGING</t>
  </si>
  <si>
    <t>GLIDSKYDD FÖR TAKSTEGE</t>
  </si>
  <si>
    <t>STIGESIKRING</t>
  </si>
  <si>
    <t>osiguranje ljestava</t>
  </si>
  <si>
    <t>600 mm</t>
  </si>
  <si>
    <t>DACHENTWÄSSERUNG P.10</t>
  </si>
  <si>
    <t>ROOF DRAINAGE P.10</t>
  </si>
  <si>
    <t>GOUTTIÈRES P.10</t>
  </si>
  <si>
    <t>SMALTIMENTO ACQUE P.10</t>
  </si>
  <si>
    <t>Odvodňovací systém P.10</t>
  </si>
  <si>
    <t>ODWODNIENIE DAHU P.10</t>
  </si>
  <si>
    <t>TETŐ VÍZELVEZETÉS P.10</t>
  </si>
  <si>
    <t>ODVODNENIE STRECHY P.10</t>
  </si>
  <si>
    <t>DAKAFWATERING P.10</t>
  </si>
  <si>
    <t>sistem za odvodnjavanje P.10</t>
  </si>
  <si>
    <t>TAKDRÄNERING P.10</t>
  </si>
  <si>
    <t>TAGDRÆNING P.10</t>
  </si>
  <si>
    <t>TAKDRENERING P.10</t>
  </si>
  <si>
    <t>KROVNA ODVODNJA P.10</t>
  </si>
  <si>
    <t>QUADRATROHR P.10</t>
  </si>
  <si>
    <t>SQUARE DOWNPIPE P.10</t>
  </si>
  <si>
    <t>TUYAU DE DESCENTE CARRÉ P.10</t>
  </si>
  <si>
    <t>PLUVIALE QUADRO P.10</t>
  </si>
  <si>
    <t>Hranatý svod P.10</t>
  </si>
  <si>
    <t>RURY KWADRATOWE P.10</t>
  </si>
  <si>
    <t>SZÖGLETES LEFOLYÓ P.10</t>
  </si>
  <si>
    <t>ŠTVORCOVÝ ZVOD P.10</t>
  </si>
  <si>
    <t>VIERKANTE BUIS P.10</t>
  </si>
  <si>
    <t>pravokotna cev P.10</t>
  </si>
  <si>
    <t>KVADRATRÖR P.10</t>
  </si>
  <si>
    <t>KVADRATRØR P.10</t>
  </si>
  <si>
    <t>FIRKANTRØR P.10</t>
  </si>
  <si>
    <t>KVADRATNA CIJEV P.10</t>
  </si>
  <si>
    <t>Einfassungsplatte, zum Einfalzen</t>
  </si>
  <si>
    <t>flashing plate</t>
  </si>
  <si>
    <t>Raccordement de ventilation</t>
  </si>
  <si>
    <t>Conversa</t>
  </si>
  <si>
    <t>Prostup pro falcované</t>
  </si>
  <si>
    <t>element wentylacyjny</t>
  </si>
  <si>
    <t>kivezető elem</t>
  </si>
  <si>
    <t>Prestup</t>
  </si>
  <si>
    <t xml:space="preserve">inwerkplaat </t>
  </si>
  <si>
    <t>prehodna plošča za strešne</t>
  </si>
  <si>
    <t>infattningsplatta</t>
  </si>
  <si>
    <t>indfatningsplade</t>
  </si>
  <si>
    <t>innfatningsplate</t>
  </si>
  <si>
    <t>otvor za ventilaciju</t>
  </si>
  <si>
    <t>Froschmaulluke, für Dachraute 29x29</t>
  </si>
  <si>
    <t>frog-mouth vent for ROOF TILE (290 × 290 mm)
air intake section: approx. 30 cm²</t>
  </si>
  <si>
    <t>Chatière pour tuiles (290 x 290 mm)
Section d’aération : env. 30 cm²</t>
  </si>
  <si>
    <t>Odvětrávací prvek pro STŘEŠNÍ ŠABLONA 290x290 mm
průřez odvětrání ca. 30 cm²</t>
  </si>
  <si>
    <t>wywietrznik dla DACHÓWKA ROMB (290 × 290 mm)
powierzchnia wentylacji: około 30 cm²</t>
  </si>
  <si>
    <t>szellőzőelem TETŐFEDŐ ROMBUSZ 290x290mm. Szellőző keresztmetszet kb. 30 cm²</t>
  </si>
  <si>
    <t>odvetrávacia STREŠNÁ ŠABLÓNA, 290x290 mm
otvor odvetrávania cca 30 cm²</t>
  </si>
  <si>
    <t>verluchtingskap met kikkerbekluik voor DAKLOSANGE 290 × 290 mm
Ventilatiediameter ca. 30 cm²</t>
  </si>
  <si>
    <t>žabji zračnik za strešni romb 290x290 mm, presek zračenja ca. 30cm2</t>
  </si>
  <si>
    <t>halvmåneformad kåpa för TAKROMB 290 × 290 mm ventilationstvärsnitt cirka 30 cm²</t>
  </si>
  <si>
    <t>frømundsluge til RUDEFORMET TAGPLADE 290 × 290 mm
Ventilationstværsnit ca. 30 cm²</t>
  </si>
  <si>
    <t>froskemunnsformet luke for TAKSTEIN 290×290 mm
ventilasjonstverrsnitt ca. 30 cm²</t>
  </si>
  <si>
    <t>pojedinačni odzračnik za KROVNI ROMB 290×290 mm
slobodni presjek cca. 30 cm²</t>
  </si>
  <si>
    <t>einseitig</t>
  </si>
  <si>
    <t>one-sided</t>
  </si>
  <si>
    <t>sur une face</t>
  </si>
  <si>
    <t>su un lato</t>
  </si>
  <si>
    <t>jednostranné</t>
  </si>
  <si>
    <t>jednostronnie</t>
  </si>
  <si>
    <t>egyoldali</t>
  </si>
  <si>
    <t>jednostranne</t>
  </si>
  <si>
    <t>enkelzijdig</t>
  </si>
  <si>
    <t>enostransko</t>
  </si>
  <si>
    <t>ensidig</t>
  </si>
  <si>
    <t>enkeltsidet</t>
  </si>
  <si>
    <t>på én side</t>
  </si>
  <si>
    <t>jednostrano</t>
  </si>
  <si>
    <t>Unterlagsplatte für DR44, DS.19</t>
  </si>
  <si>
    <t>base plate for rhomboid roof tiles 44 × 44 and DS.19</t>
  </si>
  <si>
    <t>plaque de support pour losange de toiture 44 × 44 et DS.19</t>
  </si>
  <si>
    <t>sottopiastra per scaglia 44 × 44 e DS.19</t>
  </si>
  <si>
    <t>montážní podložka pro šablony 44 × 44 a DS.19</t>
  </si>
  <si>
    <t>blacha podkładowa do dachówki romb 44 × 44 i DS.19</t>
  </si>
  <si>
    <t>alátétlemez tetőfedő rombuszhoz (44 × 44) és DS.19 elemhez</t>
  </si>
  <si>
    <t>spevňovacia podložka pre strešnú šablónu 44 × 44 a DS.19</t>
  </si>
  <si>
    <t>grondplaat voor daklosange 44 × 44 en DS.19</t>
  </si>
  <si>
    <t>podložna plošča za strešni romb 44 × 44 in DS.19</t>
  </si>
  <si>
    <t>underlagsskiva för takromb 44 × 44 och DS.19</t>
  </si>
  <si>
    <t>underlagsplade til tagrombe 44 × 44 og DS.19</t>
  </si>
  <si>
    <t>underlagsplate for takrombe 44 × 44 og DS.19</t>
  </si>
  <si>
    <t>podložna ploča za krovni romb 44 × 44 i DS.19</t>
  </si>
  <si>
    <t>Dachleitungshalter für Blitzschutzdraht</t>
  </si>
  <si>
    <t>roof conductor holder for lightning protection wire</t>
  </si>
  <si>
    <t>clip de toit pour conducteurs parafoudre</t>
  </si>
  <si>
    <t>reggicavo per impianto parafulmine</t>
  </si>
  <si>
    <t>střešní držák drátu bleskosvodu</t>
  </si>
  <si>
    <t>uchwyt dachowy do przewodów odgromowych</t>
  </si>
  <si>
    <t>tetőre szerelhető vezetéktartó villámvédelmi vezetékhez</t>
  </si>
  <si>
    <t>príponka na vedenie bleskozvodu</t>
  </si>
  <si>
    <t>dakleidinghouder voor bliksembeveiliging</t>
  </si>
  <si>
    <t>strešno držalo vodnika za žico strelovoda</t>
  </si>
  <si>
    <t>takledningshållare för åsksledare</t>
  </si>
  <si>
    <t>taglederholder til lynafleder</t>
  </si>
  <si>
    <t>takledningsholder for lynavledervaier</t>
  </si>
  <si>
    <t>krovni nosač vodiča za gromobransku žicu</t>
  </si>
  <si>
    <t>Falzgel in Folienbeutel</t>
  </si>
  <si>
    <t>sealing gel in a foil pouch</t>
  </si>
  <si>
    <t>gel d’étanchéité en sachet</t>
  </si>
  <si>
    <t>gel sigillante per aggraffature in sacchetto di alluminio</t>
  </si>
  <si>
    <t>falzgel ve fóliovém sáčku</t>
  </si>
  <si>
    <t>żel do rąbków w folii</t>
  </si>
  <si>
    <t>falczselé fóliatasakban</t>
  </si>
  <si>
    <t>drážkový gél v saláme</t>
  </si>
  <si>
    <t>felsgel in worstverpakking</t>
  </si>
  <si>
    <t>gel za zgibe v tubi</t>
  </si>
  <si>
    <t>falsgel i tub</t>
  </si>
  <si>
    <t>falsgel i plastpose</t>
  </si>
  <si>
    <t>falsegel i foliepose</t>
  </si>
  <si>
    <t>gel za falcanje u vrećicama</t>
  </si>
  <si>
    <t>Einfassung für Dachschindel DS.19</t>
  </si>
  <si>
    <t>flashing plate for DS.19 shingle</t>
  </si>
  <si>
    <t>raccordement de ventilation pour bardeau DS.19</t>
  </si>
  <si>
    <t>conversa per scandola DS.19</t>
  </si>
  <si>
    <t>prostup pro falcovaný šindel DS.19</t>
  </si>
  <si>
    <t>maskownica rury wentylacyjnej do dachówki łupkowej DS.19</t>
  </si>
  <si>
    <t>kivezető elem DS.19 tetőfedő zsindelyhez</t>
  </si>
  <si>
    <t>prestupový prvok pre strešný šindeľ DS.19</t>
  </si>
  <si>
    <t>doorvoerplaat voor dakschindel DS.19</t>
  </si>
  <si>
    <t>prehodna plošča za strešne skodle DS.19</t>
  </si>
  <si>
    <t>infästningsplatta för takshingel DS.19</t>
  </si>
  <si>
    <t>indfatningsplade til tagspån DS.19</t>
  </si>
  <si>
    <t>beslagsplate for takshingel DS.19</t>
  </si>
  <si>
    <t>otvor za ventilaciju za krovnu šindru DS.19</t>
  </si>
  <si>
    <t>Sockelknie 30 mm Ausladung</t>
  </si>
  <si>
    <t>swan neck (projection: 30 mm)</t>
  </si>
  <si>
    <t>coude étage (projection : 30 mm)</t>
  </si>
  <si>
    <t>spostamento (disassamento: 30 mm)</t>
  </si>
  <si>
    <t>soklové koleno (přesah: 30 mm)</t>
  </si>
  <si>
    <t>kolano podwójne (odsadzenie: 30 mm)</t>
  </si>
  <si>
    <t>lábazati elem (előállás: 30 mm)</t>
  </si>
  <si>
    <t>soklové koleno (vybočenie: 30 mm)</t>
  </si>
  <si>
    <t>sprongbocht (reikwijdte: 30 mm)</t>
  </si>
  <si>
    <t>izogibno koleno (zamik: 30 mm)</t>
  </si>
  <si>
    <t>sockelknä (förskjutning: 30 mm)</t>
  </si>
  <si>
    <t>sokkelknæ (udhæng: 30 mm)</t>
  </si>
  <si>
    <t>sokkelkne (utbøying: 30 mm)</t>
  </si>
  <si>
    <t>podnožno koljeno (pomak: 30 mm)</t>
  </si>
  <si>
    <t>Klebeendboden</t>
  </si>
  <si>
    <t>adhesive end cap</t>
  </si>
  <si>
    <t>fond de gouttière à coller</t>
  </si>
  <si>
    <t>testata adesiva</t>
  </si>
  <si>
    <t>lepené čelo žlabu</t>
  </si>
  <si>
    <t>denko klejone</t>
  </si>
  <si>
    <t>ragasztható végelem</t>
  </si>
  <si>
    <t>lepené čelo žľabu</t>
  </si>
  <si>
    <t>verlijmbaar kopschot</t>
  </si>
  <si>
    <t>zapora žlebu za lepljenje</t>
  </si>
  <si>
    <t>ränngavel</t>
  </si>
  <si>
    <t>endebund til klæbning</t>
  </si>
  <si>
    <t>endelokk for liming</t>
  </si>
  <si>
    <t>ljepljivo čelo žlijeba</t>
  </si>
  <si>
    <t>Projektdaten:</t>
  </si>
  <si>
    <t>Project information:</t>
  </si>
  <si>
    <t>Données relatives au projet :</t>
  </si>
  <si>
    <t>Dati del progetto:</t>
  </si>
  <si>
    <t>Údaje o objektu:</t>
  </si>
  <si>
    <t>Dane projektu:</t>
  </si>
  <si>
    <t>Projekt adatai:</t>
  </si>
  <si>
    <t>Údaje o projekte:</t>
  </si>
  <si>
    <t>Projectgegevens:</t>
  </si>
  <si>
    <t>Podatki o projektu:</t>
  </si>
  <si>
    <t>Projektinformation:</t>
  </si>
  <si>
    <t>Projektdata:</t>
  </si>
  <si>
    <t>Prosjektdata:</t>
  </si>
  <si>
    <t>Podaci o projektu:</t>
  </si>
  <si>
    <t>techn. Ausarbeitung PREFA:</t>
  </si>
  <si>
    <t>Technical preparation (PREFA):</t>
  </si>
  <si>
    <t>Élaboration technique (PREFA) :</t>
  </si>
  <si>
    <t>Rielaborazione tecnica (PREFA):</t>
  </si>
  <si>
    <t>Technické zpracování (PREFA):</t>
  </si>
  <si>
    <t>Opracowanie techniczne (PREFA):</t>
  </si>
  <si>
    <t>Műszaki előkészítés (PREFA):</t>
  </si>
  <si>
    <t>Údaje o projekte (PREFA):</t>
  </si>
  <si>
    <t>Technische uitwerking (PREFA):</t>
  </si>
  <si>
    <t>Tehnična priprava (PREFA):</t>
  </si>
  <si>
    <t>Teknisk utarbetning (PREFA):</t>
  </si>
  <si>
    <t>Teknisk udarbejdelse (PREFA):</t>
  </si>
  <si>
    <t>Teknisk forberedelse (PREFA):</t>
  </si>
  <si>
    <t>Izrada tehničke dokumentacije (PREFA):</t>
  </si>
  <si>
    <t>Bearbeiter:</t>
  </si>
  <si>
    <t>Processor:</t>
  </si>
  <si>
    <t>Responsable :</t>
  </si>
  <si>
    <t>Addetto:</t>
  </si>
  <si>
    <t>Zpracoval:</t>
  </si>
  <si>
    <t>Referent:</t>
  </si>
  <si>
    <t>Feldolgozta:</t>
  </si>
  <si>
    <t>Spracovateľ:</t>
  </si>
  <si>
    <t>Verantwoordelijke:</t>
  </si>
  <si>
    <t>Bearbetas av:</t>
  </si>
  <si>
    <t>Bearbejder:</t>
  </si>
  <si>
    <t>Ansvarlig:</t>
  </si>
  <si>
    <t>Odgovorna osoba:</t>
  </si>
  <si>
    <t>Beschreibung</t>
  </si>
  <si>
    <t>description</t>
  </si>
  <si>
    <t>Description</t>
  </si>
  <si>
    <t>descrizione</t>
  </si>
  <si>
    <t>popis</t>
  </si>
  <si>
    <t>leírás</t>
  </si>
  <si>
    <t>beschrijving</t>
  </si>
  <si>
    <t>beskrivning</t>
  </si>
  <si>
    <t>beskrivelse</t>
  </si>
  <si>
    <t>Bestellnummer:</t>
  </si>
  <si>
    <t>Order number:</t>
  </si>
  <si>
    <t>Numéro de commande :</t>
  </si>
  <si>
    <t>Numero d’ordine:</t>
  </si>
  <si>
    <t>Číslo objednávky:</t>
  </si>
  <si>
    <t>Numer zamówienia:</t>
  </si>
  <si>
    <t>Megrendelési szám:</t>
  </si>
  <si>
    <t>Objednávacie číslo:</t>
  </si>
  <si>
    <t>Bestelnummer:</t>
  </si>
  <si>
    <t>Številka naročila:</t>
  </si>
  <si>
    <t>Ordernummer:</t>
  </si>
  <si>
    <t>Bestillingsnummer:</t>
  </si>
  <si>
    <t>Ordrenummer:</t>
  </si>
  <si>
    <t>Broj narudžbe:</t>
  </si>
  <si>
    <t>Mengenermittlung in:</t>
  </si>
  <si>
    <t>Quantity required:</t>
  </si>
  <si>
    <t>Calcul des quantités requises :</t>
  </si>
  <si>
    <t>Quantità richieste:</t>
  </si>
  <si>
    <t>Požadované množství:</t>
  </si>
  <si>
    <t>Wymagana ilość:</t>
  </si>
  <si>
    <t>Mennyiségszámítás:</t>
  </si>
  <si>
    <t>Určenie množstva:</t>
  </si>
  <si>
    <t>Benodigd aantal:</t>
  </si>
  <si>
    <t>Potrebna količina:</t>
  </si>
  <si>
    <t>Mängdberäkning:</t>
  </si>
  <si>
    <t>Ønsket mængde:</t>
  </si>
  <si>
    <t>Nødvendig mengde:</t>
  </si>
  <si>
    <t>Magazin</t>
  </si>
  <si>
    <t>warehouse</t>
  </si>
  <si>
    <t>chargeur</t>
  </si>
  <si>
    <t>ricarica</t>
  </si>
  <si>
    <t>zásobník</t>
  </si>
  <si>
    <t>magazyn</t>
  </si>
  <si>
    <t>árukiadó</t>
  </si>
  <si>
    <t>magazijn</t>
  </si>
  <si>
    <t>magazin</t>
  </si>
  <si>
    <t>magasin</t>
  </si>
  <si>
    <t>spremnik za učvršćivače</t>
  </si>
  <si>
    <t>60 kg</t>
  </si>
  <si>
    <t>60 kg</t>
  </si>
  <si>
    <t>500 kg</t>
  </si>
  <si>
    <t>500 kg</t>
  </si>
  <si>
    <t>Sets</t>
  </si>
  <si>
    <t>kits</t>
  </si>
  <si>
    <t>sady</t>
  </si>
  <si>
    <t>zestawy</t>
  </si>
  <si>
    <t>egységek</t>
  </si>
  <si>
    <t>sety</t>
  </si>
  <si>
    <t>sets</t>
  </si>
  <si>
    <t>kompleta</t>
  </si>
  <si>
    <t>satser</t>
  </si>
  <si>
    <t>sæt</t>
  </si>
  <si>
    <t>sett</t>
  </si>
  <si>
    <t>setovi</t>
  </si>
  <si>
    <t>19 dark grey</t>
  </si>
  <si>
    <t>19 gris sombre</t>
  </si>
  <si>
    <t>19 grigio scuro</t>
  </si>
  <si>
    <t>19 tmavě šedá</t>
  </si>
  <si>
    <t>19 grafitowy</t>
  </si>
  <si>
    <t>19 grafitszürke</t>
  </si>
  <si>
    <t>19 tmavošedá</t>
  </si>
  <si>
    <t>19 donkergrijs</t>
  </si>
  <si>
    <t>19 temno siva</t>
  </si>
  <si>
    <t>19 mörkgrå</t>
  </si>
  <si>
    <t>19 mørk grå</t>
  </si>
  <si>
    <t>19 tamno siva</t>
  </si>
  <si>
    <t>12 P.10 Silbermetallic</t>
  </si>
  <si>
    <t>12 P.10 metallic silver</t>
  </si>
  <si>
    <t>12 P.10 argent métallisé</t>
  </si>
  <si>
    <t>12 P.10 silver metallizzato</t>
  </si>
  <si>
    <t>12 P.10 stříbrná metalíza</t>
  </si>
  <si>
    <t>12 P.10 srebrny metalik</t>
  </si>
  <si>
    <t>12 P.10 ezüstmetál</t>
  </si>
  <si>
    <t>12 P.10 strieborná metalíza</t>
  </si>
  <si>
    <t>12 P.10 zilvermetallic</t>
  </si>
  <si>
    <t>12 P.10 kovinsko srebrna</t>
  </si>
  <si>
    <t>12 P.10 silvermetallic</t>
  </si>
  <si>
    <t>12 P.10 sølvmetallic</t>
  </si>
  <si>
    <t>12 P.10 sølv metallic</t>
  </si>
  <si>
    <t>12 P.10 metalik srebrna</t>
  </si>
  <si>
    <t>downpipe adaptor</t>
  </si>
  <si>
    <t>mamelon de raccordement</t>
  </si>
  <si>
    <t>raccordo per tubi</t>
  </si>
  <si>
    <t>přechodka svodu</t>
  </si>
  <si>
    <t>redukcja</t>
  </si>
  <si>
    <t>csőátalakító</t>
  </si>
  <si>
    <t>verloopstuk</t>
  </si>
  <si>
    <t>cevni nastavek</t>
  </si>
  <si>
    <t>rörövergång</t>
  </si>
  <si>
    <t>rørovergang</t>
  </si>
  <si>
    <t>overgangsmuffe</t>
  </si>
  <si>
    <t>prijelazna spojna cijev</t>
  </si>
  <si>
    <t>⌀ 120</t>
  </si>
  <si>
    <t>Ø 110/100 mm</t>
  </si>
  <si>
    <t>⌀ 110/100 mm</t>
  </si>
  <si>
    <t>Ø 125/120 mm</t>
  </si>
  <si>
    <t>⌀ 125/120 mm</t>
  </si>
  <si>
    <t>Einfassung Vario, 120-600 mm, stucco</t>
  </si>
  <si>
    <t>Einfassung Vario, 600-1.020 mm, stucco</t>
  </si>
  <si>
    <t>Spezialkleber</t>
  </si>
  <si>
    <t>Rohrverbinder Stärke 1,6 mm</t>
  </si>
  <si>
    <t>Ausbesserungslack</t>
  </si>
  <si>
    <t>12 ml</t>
  </si>
  <si>
    <t>Ausbesserungsstift</t>
  </si>
  <si>
    <t>11 ml</t>
  </si>
  <si>
    <t>Quadratrohr 80 mm</t>
  </si>
  <si>
    <t>Quadratrohr 100 mm</t>
  </si>
  <si>
    <t>Quadratrohrbogen 80 mm, 72°, lang</t>
  </si>
  <si>
    <t>Quadratrohrbogen 100 mm, 72°, lang</t>
  </si>
  <si>
    <t>Quadratrohrbogen 80 mm, 72°, kurz</t>
  </si>
  <si>
    <t>Quadratrohrbogen 100 mm, 72°, kurz</t>
  </si>
  <si>
    <t>Quadratrohr 80 mm, Wasserfangkasten</t>
  </si>
  <si>
    <t>Quadratrohr 100 mm, Wasserfangkasten</t>
  </si>
  <si>
    <t>Quadratrohr 80 mm, Kessel</t>
  </si>
  <si>
    <t>Quadratrohr 100 mm, Kessel</t>
  </si>
  <si>
    <t>Quadratrohr 80 mm, Speiereinmündung</t>
  </si>
  <si>
    <t>Quadratrohr 100 mm, Speiereinmündung</t>
  </si>
  <si>
    <t>Quadratrohr 80 mm, Muffe</t>
  </si>
  <si>
    <t>Quadratrohr 100 mm, Muffe</t>
  </si>
  <si>
    <t>Quadratrohr 80 mm, mit Reinigungsöffnung</t>
  </si>
  <si>
    <t>Quadratrohr 100 mm, mit Reinigungsöffnung</t>
  </si>
  <si>
    <t>Wassersammler für Quadratrohr 100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</si>
</sst>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0"/>
    <numFmt numFmtId="165" formatCode="000000"/>
  </numFmts>
  <fonts count="3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10"/>
      <name val="Slimbach LT"/>
    </font>
    <font>
      <sz val="10"/>
      <color theme="0"/>
      <name val="Arial"/>
      <family val="2"/>
    </font>
    <font>
      <b/>
      <u/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name val="Slimbach LT"/>
    </font>
    <font>
      <sz val="11"/>
      <name val="Calibri"/>
      <family val="2"/>
      <scheme val="minor"/>
    </font>
    <font>
      <sz val="9"/>
      <name val="Slimbach LT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sz val="11"/>
      <color theme="1"/>
      <name val="Arial Narrow"/>
      <family val="2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b/>
      <sz val="10"/>
      <name val="Slimbach LT"/>
    </font>
    <font>
      <b/>
      <sz val="9"/>
      <name val="Arial"/>
      <family val="2"/>
    </font>
    <font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32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/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14" fontId="3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14" fillId="3" borderId="0" xfId="0" applyFont="1" applyFill="1"/>
    <xf numFmtId="0" fontId="7" fillId="3" borderId="0" xfId="0" applyFont="1" applyFill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22" xfId="0" applyBorder="1"/>
    <xf numFmtId="0" fontId="0" fillId="0" borderId="41" xfId="0" applyBorder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55" xfId="0" applyFont="1" applyBorder="1" applyAlignment="1">
      <alignment vertical="center"/>
    </xf>
    <xf numFmtId="0" fontId="1" fillId="0" borderId="56" xfId="0" applyFont="1" applyBorder="1" applyAlignment="1">
      <alignment vertical="center"/>
    </xf>
    <xf numFmtId="0" fontId="0" fillId="0" borderId="57" xfId="0" applyBorder="1"/>
    <xf numFmtId="0" fontId="0" fillId="0" borderId="55" xfId="0" applyBorder="1"/>
    <xf numFmtId="0" fontId="0" fillId="0" borderId="56" xfId="0" applyBorder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" fillId="0" borderId="3" xfId="0" applyFont="1" applyBorder="1" applyAlignment="1">
      <alignment vertical="center"/>
    </xf>
    <xf numFmtId="165" fontId="0" fillId="0" borderId="1" xfId="0" applyNumberFormat="1" applyBorder="1"/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0" borderId="1" xfId="0" applyBorder="1" applyAlignment="1">
      <alignment vertical="center"/>
    </xf>
    <xf numFmtId="165" fontId="0" fillId="0" borderId="28" xfId="0" applyNumberFormat="1" applyBorder="1"/>
    <xf numFmtId="165" fontId="0" fillId="0" borderId="41" xfId="0" applyNumberFormat="1" applyBorder="1"/>
    <xf numFmtId="0" fontId="1" fillId="4" borderId="33" xfId="0" applyFont="1" applyFill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9" fontId="0" fillId="0" borderId="0" xfId="0" applyNumberFormat="1"/>
    <xf numFmtId="0" fontId="1" fillId="3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5" borderId="1" xfId="0" applyFill="1" applyBorder="1"/>
    <xf numFmtId="49" fontId="0" fillId="0" borderId="1" xfId="0" applyNumberFormat="1" applyBorder="1"/>
    <xf numFmtId="0" fontId="0" fillId="5" borderId="2" xfId="0" applyFill="1" applyBorder="1"/>
    <xf numFmtId="0" fontId="0" fillId="5" borderId="4" xfId="0" applyFill="1" applyBorder="1"/>
    <xf numFmtId="0" fontId="1" fillId="7" borderId="1" xfId="0" applyFont="1" applyFill="1" applyBorder="1" applyAlignment="1">
      <alignment vertical="center"/>
    </xf>
    <xf numFmtId="0" fontId="0" fillId="7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0" fillId="6" borderId="1" xfId="0" applyNumberFormat="1" applyFill="1" applyBorder="1"/>
    <xf numFmtId="0" fontId="1" fillId="0" borderId="0" xfId="0" applyFont="1"/>
    <xf numFmtId="0" fontId="18" fillId="0" borderId="0" xfId="0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/>
    <xf numFmtId="0" fontId="21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right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 wrapText="1"/>
    </xf>
    <xf numFmtId="0" fontId="19" fillId="0" borderId="46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33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right" vertical="center" wrapText="1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>
      <alignment horizontal="right" vertical="center" wrapText="1"/>
    </xf>
    <xf numFmtId="0" fontId="19" fillId="0" borderId="49" xfId="0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9" fillId="0" borderId="2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3" xfId="0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43" xfId="0" applyFont="1" applyBorder="1" applyAlignment="1" applyProtection="1">
      <alignment horizontal="center" vertical="center"/>
      <protection locked="0"/>
    </xf>
    <xf numFmtId="0" fontId="19" fillId="0" borderId="34" xfId="0" applyFont="1" applyBorder="1" applyAlignment="1">
      <alignment horizontal="center" vertical="center"/>
    </xf>
    <xf numFmtId="0" fontId="19" fillId="0" borderId="32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45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20" fillId="0" borderId="0" xfId="0" applyFont="1" applyAlignment="1" applyProtection="1">
      <alignment horizontal="left" vertical="center"/>
      <protection locked="0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>
      <alignment horizontal="right" vertical="center" wrapText="1"/>
    </xf>
    <xf numFmtId="0" fontId="0" fillId="0" borderId="58" xfId="0" applyBorder="1"/>
    <xf numFmtId="0" fontId="0" fillId="0" borderId="59" xfId="0" applyBorder="1"/>
    <xf numFmtId="0" fontId="0" fillId="0" borderId="60" xfId="0" applyBorder="1"/>
    <xf numFmtId="49" fontId="0" fillId="0" borderId="1" xfId="0" applyNumberFormat="1" applyBorder="1" applyAlignment="1">
      <alignment horizontal="right"/>
    </xf>
    <xf numFmtId="0" fontId="19" fillId="0" borderId="9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20" fontId="0" fillId="0" borderId="0" xfId="0" applyNumberForma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7" fillId="0" borderId="31" xfId="0" applyFont="1" applyBorder="1" applyAlignment="1">
      <alignment vertical="center"/>
    </xf>
    <xf numFmtId="165" fontId="0" fillId="0" borderId="0" xfId="0" applyNumberFormat="1"/>
    <xf numFmtId="0" fontId="1" fillId="4" borderId="0" xfId="0" applyFont="1" applyFill="1" applyAlignment="1">
      <alignment vertical="center"/>
    </xf>
    <xf numFmtId="165" fontId="0" fillId="8" borderId="1" xfId="0" applyNumberFormat="1" applyFill="1" applyBorder="1"/>
    <xf numFmtId="0" fontId="1" fillId="3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19" fillId="0" borderId="35" xfId="0" applyFont="1" applyBorder="1" applyAlignment="1">
      <alignment horizontal="right" vertical="center" wrapText="1"/>
    </xf>
    <xf numFmtId="0" fontId="1" fillId="7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7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25" fillId="0" borderId="0" xfId="0" applyFont="1"/>
    <xf numFmtId="0" fontId="0" fillId="8" borderId="0" xfId="0" applyFill="1"/>
    <xf numFmtId="0" fontId="11" fillId="0" borderId="0" xfId="0" applyFont="1" applyAlignment="1">
      <alignment vertical="center"/>
    </xf>
    <xf numFmtId="0" fontId="12" fillId="0" borderId="47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/>
    <xf numFmtId="0" fontId="12" fillId="0" borderId="47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57" xfId="0" applyFont="1" applyBorder="1"/>
    <xf numFmtId="0" fontId="27" fillId="0" borderId="60" xfId="0" applyFont="1" applyBorder="1"/>
    <xf numFmtId="165" fontId="0" fillId="0" borderId="47" xfId="0" applyNumberFormat="1" applyBorder="1"/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 wrapText="1"/>
    </xf>
    <xf numFmtId="0" fontId="30" fillId="0" borderId="49" xfId="0" applyFont="1" applyBorder="1" applyAlignment="1">
      <alignment horizontal="right" vertical="center" wrapText="1"/>
    </xf>
    <xf numFmtId="0" fontId="30" fillId="0" borderId="49" xfId="0" applyFont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>
      <alignment horizontal="right" vertical="center" wrapText="1"/>
    </xf>
    <xf numFmtId="0" fontId="1" fillId="0" borderId="38" xfId="0" applyFont="1" applyBorder="1" applyAlignment="1">
      <alignment vertical="center"/>
    </xf>
    <xf numFmtId="0" fontId="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8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49" fontId="19" fillId="0" borderId="32" xfId="0" applyNumberFormat="1" applyFont="1" applyBorder="1" applyAlignment="1" applyProtection="1">
      <alignment horizontal="center" vertical="center"/>
      <protection locked="0"/>
    </xf>
    <xf numFmtId="49" fontId="19" fillId="0" borderId="1" xfId="0" applyNumberFormat="1" applyFont="1" applyBorder="1" applyAlignment="1" applyProtection="1">
      <alignment horizontal="center" vertical="center"/>
      <protection locked="0"/>
    </xf>
    <xf numFmtId="49" fontId="19" fillId="0" borderId="33" xfId="0" applyNumberFormat="1" applyFont="1" applyBorder="1" applyAlignment="1" applyProtection="1">
      <alignment horizontal="center" vertical="center"/>
      <protection locked="0"/>
    </xf>
    <xf numFmtId="49" fontId="19" fillId="0" borderId="13" xfId="0" applyNumberFormat="1" applyFont="1" applyBorder="1" applyAlignment="1" applyProtection="1">
      <alignment horizontal="center" vertical="center"/>
      <protection locked="0"/>
    </xf>
    <xf numFmtId="49" fontId="19" fillId="0" borderId="14" xfId="0" applyNumberFormat="1" applyFont="1" applyBorder="1" applyAlignment="1" applyProtection="1">
      <alignment horizontal="center" vertical="center"/>
      <protection locked="0"/>
    </xf>
    <xf numFmtId="49" fontId="19" fillId="0" borderId="15" xfId="0" applyNumberFormat="1" applyFont="1" applyBorder="1" applyAlignment="1" applyProtection="1">
      <alignment horizontal="center" vertical="center"/>
      <protection locked="0"/>
    </xf>
    <xf numFmtId="49" fontId="19" fillId="0" borderId="42" xfId="0" applyNumberFormat="1" applyFont="1" applyBorder="1" applyAlignment="1" applyProtection="1">
      <alignment horizontal="center" vertical="center"/>
      <protection locked="0"/>
    </xf>
    <xf numFmtId="49" fontId="19" fillId="0" borderId="27" xfId="0" applyNumberFormat="1" applyFont="1" applyBorder="1" applyAlignment="1" applyProtection="1">
      <alignment horizontal="center" vertical="center"/>
      <protection locked="0"/>
    </xf>
    <xf numFmtId="0" fontId="32" fillId="9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49" fontId="0" fillId="0" borderId="4" xfId="0" applyNumberFormat="1" applyBorder="1"/>
    <xf numFmtId="0" fontId="0" fillId="0" borderId="4" xfId="0" applyBorder="1" applyAlignment="1">
      <alignment vertical="center"/>
    </xf>
    <xf numFmtId="0" fontId="7" fillId="0" borderId="4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right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>
      <alignment horizontal="center" vertical="center" wrapText="1"/>
    </xf>
    <xf numFmtId="0" fontId="21" fillId="0" borderId="49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left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165" fontId="0" fillId="0" borderId="40" xfId="0" applyNumberFormat="1" applyBorder="1"/>
    <xf numFmtId="165" fontId="0" fillId="0" borderId="2" xfId="0" applyNumberFormat="1" applyBorder="1"/>
    <xf numFmtId="165" fontId="0" fillId="8" borderId="2" xfId="0" applyNumberFormat="1" applyFill="1" applyBorder="1"/>
    <xf numFmtId="0" fontId="0" fillId="5" borderId="0" xfId="0" applyFill="1"/>
    <xf numFmtId="0" fontId="36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horizontal="left" vertical="center" indent="2"/>
    </xf>
    <xf numFmtId="0" fontId="11" fillId="0" borderId="0" xfId="0" applyFont="1" applyAlignment="1">
      <alignment horizontal="left" vertical="center"/>
    </xf>
    <xf numFmtId="0" fontId="14" fillId="0" borderId="0" xfId="0" applyFont="1"/>
    <xf numFmtId="0" fontId="37" fillId="0" borderId="1" xfId="0" applyFont="1" applyBorder="1" applyAlignment="1">
      <alignment vertical="center"/>
    </xf>
    <xf numFmtId="49" fontId="37" fillId="0" borderId="0" xfId="0" applyNumberFormat="1" applyFont="1"/>
    <xf numFmtId="165" fontId="0" fillId="5" borderId="1" xfId="0" applyNumberFormat="1" applyFill="1" applyBorder="1"/>
    <xf numFmtId="0" fontId="7" fillId="0" borderId="0" xfId="0" applyFont="1" applyAlignment="1">
      <alignment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8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1" fillId="0" borderId="55" xfId="0" applyFont="1" applyBorder="1" applyAlignment="1">
      <alignment horizontal="center" vertical="top"/>
    </xf>
    <xf numFmtId="0" fontId="1" fillId="0" borderId="56" xfId="0" applyFont="1" applyBorder="1" applyAlignment="1">
      <alignment horizontal="center" vertical="top"/>
    </xf>
    <xf numFmtId="0" fontId="1" fillId="0" borderId="57" xfId="0" applyFont="1" applyBorder="1" applyAlignment="1">
      <alignment horizontal="center" vertical="top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11" xfId="0" applyFont="1" applyBorder="1" applyAlignment="1" applyProtection="1">
      <alignment horizontal="left" vertical="center" wrapText="1"/>
      <protection locked="0"/>
    </xf>
    <xf numFmtId="0" fontId="19" fillId="0" borderId="4" xfId="0" applyFont="1" applyBorder="1" applyAlignment="1" applyProtection="1">
      <alignment horizontal="left" vertical="center" wrapText="1"/>
      <protection locked="0"/>
    </xf>
    <xf numFmtId="49" fontId="19" fillId="0" borderId="5" xfId="0" applyNumberFormat="1" applyFont="1" applyBorder="1" applyAlignment="1" applyProtection="1">
      <alignment horizontal="left" vertical="center"/>
      <protection locked="0"/>
    </xf>
    <xf numFmtId="49" fontId="19" fillId="0" borderId="6" xfId="0" applyNumberFormat="1" applyFont="1" applyBorder="1" applyAlignment="1" applyProtection="1">
      <alignment horizontal="left" vertical="center"/>
      <protection locked="0"/>
    </xf>
    <xf numFmtId="49" fontId="19" fillId="0" borderId="7" xfId="0" applyNumberFormat="1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>
      <alignment horizontal="left" vertical="center" wrapText="1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3" xfId="0" applyFont="1" applyBorder="1" applyAlignment="1">
      <alignment horizontal="center" vertical="center"/>
    </xf>
    <xf numFmtId="0" fontId="19" fillId="0" borderId="30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" xfId="0" applyFont="1" applyBorder="1" applyAlignment="1" applyProtection="1">
      <alignment horizontal="left" vertical="center" wrapText="1"/>
      <protection locked="0"/>
    </xf>
    <xf numFmtId="49" fontId="19" fillId="0" borderId="2" xfId="0" applyNumberFormat="1" applyFont="1" applyBorder="1" applyAlignment="1" applyProtection="1">
      <alignment horizontal="left" vertical="center"/>
      <protection locked="0"/>
    </xf>
    <xf numFmtId="49" fontId="19" fillId="0" borderId="3" xfId="0" applyNumberFormat="1" applyFont="1" applyBorder="1" applyAlignment="1" applyProtection="1">
      <alignment horizontal="left" vertical="center"/>
      <protection locked="0"/>
    </xf>
    <xf numFmtId="49" fontId="19" fillId="0" borderId="4" xfId="0" applyNumberFormat="1" applyFont="1" applyBorder="1" applyAlignment="1" applyProtection="1">
      <alignment horizontal="left" vertical="center"/>
      <protection locked="0"/>
    </xf>
    <xf numFmtId="49" fontId="19" fillId="0" borderId="16" xfId="0" applyNumberFormat="1" applyFont="1" applyBorder="1" applyAlignment="1" applyProtection="1">
      <alignment horizontal="left" vertical="center"/>
      <protection locked="0"/>
    </xf>
    <xf numFmtId="49" fontId="19" fillId="0" borderId="17" xfId="0" applyNumberFormat="1" applyFont="1" applyBorder="1" applyAlignment="1" applyProtection="1">
      <alignment horizontal="left" vertical="center"/>
      <protection locked="0"/>
    </xf>
    <xf numFmtId="49" fontId="19" fillId="0" borderId="18" xfId="0" applyNumberFormat="1" applyFont="1" applyBorder="1" applyAlignment="1" applyProtection="1">
      <alignment horizontal="left" vertical="center"/>
      <protection locked="0"/>
    </xf>
    <xf numFmtId="49" fontId="19" fillId="0" borderId="0" xfId="0" applyNumberFormat="1" applyFont="1" applyAlignment="1" applyProtection="1">
      <alignment horizontal="left" vertical="center"/>
      <protection locked="0"/>
    </xf>
    <xf numFmtId="49" fontId="19" fillId="0" borderId="23" xfId="0" applyNumberFormat="1" applyFont="1" applyBorder="1" applyAlignment="1" applyProtection="1">
      <alignment horizontal="left" vertical="center"/>
      <protection locked="0"/>
    </xf>
    <xf numFmtId="49" fontId="19" fillId="0" borderId="25" xfId="0" applyNumberFormat="1" applyFont="1" applyBorder="1" applyAlignment="1" applyProtection="1">
      <alignment horizontal="left" vertical="center"/>
      <protection locked="0"/>
    </xf>
    <xf numFmtId="14" fontId="19" fillId="0" borderId="3" xfId="0" applyNumberFormat="1" applyFont="1" applyBorder="1" applyAlignment="1">
      <alignment horizontal="left" vertical="center"/>
    </xf>
    <xf numFmtId="14" fontId="19" fillId="0" borderId="4" xfId="0" applyNumberFormat="1" applyFont="1" applyBorder="1" applyAlignment="1">
      <alignment horizontal="left" vertical="center"/>
    </xf>
    <xf numFmtId="49" fontId="21" fillId="0" borderId="5" xfId="1" applyNumberFormat="1" applyFont="1" applyFill="1" applyBorder="1" applyAlignment="1" applyProtection="1">
      <alignment horizontal="left" vertical="center"/>
      <protection locked="0"/>
    </xf>
    <xf numFmtId="49" fontId="21" fillId="0" borderId="6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>
      <alignment horizontal="center" vertical="center"/>
    </xf>
    <xf numFmtId="0" fontId="28" fillId="0" borderId="61" xfId="0" applyFont="1" applyBorder="1" applyAlignment="1">
      <alignment horizontal="right" vertical="center" textRotation="90"/>
    </xf>
    <xf numFmtId="0" fontId="22" fillId="0" borderId="26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34" xfId="0" applyFont="1" applyBorder="1" applyAlignment="1">
      <alignment horizontal="left" vertical="center" wrapText="1"/>
    </xf>
    <xf numFmtId="0" fontId="19" fillId="0" borderId="35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49" fontId="21" fillId="0" borderId="5" xfId="0" applyNumberFormat="1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>
      <alignment horizontal="left" vertical="center" wrapText="1"/>
    </xf>
    <xf numFmtId="0" fontId="19" fillId="0" borderId="51" xfId="0" applyFont="1" applyBorder="1" applyAlignment="1">
      <alignment horizontal="left" vertical="center" wrapText="1"/>
    </xf>
    <xf numFmtId="0" fontId="19" fillId="0" borderId="25" xfId="0" applyFont="1" applyBorder="1" applyAlignment="1">
      <alignment horizontal="left" vertical="center" wrapText="1"/>
    </xf>
    <xf numFmtId="0" fontId="19" fillId="0" borderId="52" xfId="0" applyFont="1" applyBorder="1" applyAlignment="1">
      <alignment horizontal="left" vertical="center" wrapText="1"/>
    </xf>
    <xf numFmtId="49" fontId="19" fillId="0" borderId="1" xfId="0" applyNumberFormat="1" applyFont="1" applyBorder="1" applyAlignment="1" applyProtection="1">
      <alignment horizontal="left" vertical="center"/>
      <protection locked="0"/>
    </xf>
    <xf numFmtId="49" fontId="19" fillId="0" borderId="24" xfId="0" applyNumberFormat="1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19" fillId="0" borderId="54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left" vertical="center" wrapText="1"/>
    </xf>
    <xf numFmtId="0" fontId="19" fillId="0" borderId="63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right" vertical="center" wrapText="1"/>
    </xf>
    <xf numFmtId="0" fontId="19" fillId="0" borderId="12" xfId="0" applyFont="1" applyBorder="1" applyAlignment="1">
      <alignment horizontal="right" vertical="center" wrapText="1"/>
    </xf>
    <xf numFmtId="0" fontId="19" fillId="0" borderId="25" xfId="0" applyFont="1" applyBorder="1" applyAlignment="1">
      <alignment horizontal="right" vertical="center" wrapText="1"/>
    </xf>
    <xf numFmtId="0" fontId="19" fillId="0" borderId="64" xfId="0" applyFont="1" applyBorder="1" applyAlignment="1">
      <alignment horizontal="right" vertical="center" wrapText="1"/>
    </xf>
    <xf numFmtId="0" fontId="19" fillId="0" borderId="4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9" fillId="0" borderId="41" xfId="0" applyFont="1" applyBorder="1" applyAlignment="1">
      <alignment horizontal="left" vertical="center"/>
    </xf>
    <xf numFmtId="0" fontId="19" fillId="0" borderId="65" xfId="0" applyFont="1" applyBorder="1" applyAlignment="1" applyProtection="1">
      <alignment horizontal="left" vertical="center" wrapText="1"/>
      <protection locked="0"/>
    </xf>
    <xf numFmtId="0" fontId="19" fillId="0" borderId="31" xfId="0" applyFont="1" applyBorder="1" applyAlignment="1" applyProtection="1">
      <alignment horizontal="left" vertical="center" wrapText="1"/>
      <protection locked="0"/>
    </xf>
  </cellXfs>
  <cellStyles count="2">
    <cellStyle name="Lien hypertexte" xfId="1" builtinId="8"/>
    <cellStyle name="Normal" xfId="0" builtinId="0"/>
  </cellStyles>
  <dxfs count="294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checked="Checked" firstButton="1" fmlaLink="$O$6"/>
</file>

<file path=xl/ctrlProps/ctrlProp10.xml><?xml version="1.0" encoding="utf-8"?>
<formControlPr xmlns="http://schemas.microsoft.com/office/spreadsheetml/2009/9/main" objectType="Radio"/>
</file>

<file path=xl/ctrlProps/ctrlProp100.xml><?xml version="1.0" encoding="utf-8"?>
<formControlPr xmlns="http://schemas.microsoft.com/office/spreadsheetml/2009/9/main" objectType="Radio" lockText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fmlaLink="$N$21"/>
</file>

<file path=xl/ctrlProps/ctrlProp104.xml><?xml version="1.0" encoding="utf-8"?>
<formControlPr xmlns="http://schemas.microsoft.com/office/spreadsheetml/2009/9/main" objectType="Radio"/>
</file>

<file path=xl/ctrlProps/ctrlProp105.xml><?xml version="1.0" encoding="utf-8"?>
<formControlPr xmlns="http://schemas.microsoft.com/office/spreadsheetml/2009/9/main" objectType="Radio"/>
</file>

<file path=xl/ctrlProps/ctrlProp106.xml><?xml version="1.0" encoding="utf-8"?>
<formControlPr xmlns="http://schemas.microsoft.com/office/spreadsheetml/2009/9/main" objectType="Radio"/>
</file>

<file path=xl/ctrlProps/ctrlProp107.xml><?xml version="1.0" encoding="utf-8"?>
<formControlPr xmlns="http://schemas.microsoft.com/office/spreadsheetml/2009/9/main" objectType="Radio"/>
</file>

<file path=xl/ctrlProps/ctrlProp108.xml><?xml version="1.0" encoding="utf-8"?>
<formControlPr xmlns="http://schemas.microsoft.com/office/spreadsheetml/2009/9/main" objectType="Radio"/>
</file>

<file path=xl/ctrlProps/ctrlProp109.xml><?xml version="1.0" encoding="utf-8"?>
<formControlPr xmlns="http://schemas.microsoft.com/office/spreadsheetml/2009/9/main" objectType="Radio"/>
</file>

<file path=xl/ctrlProps/ctrlProp11.xml><?xml version="1.0" encoding="utf-8"?>
<formControlPr xmlns="http://schemas.microsoft.com/office/spreadsheetml/2009/9/main" objectType="Radio"/>
</file>

<file path=xl/ctrlProps/ctrlProp110.xml><?xml version="1.0" encoding="utf-8"?>
<formControlPr xmlns="http://schemas.microsoft.com/office/spreadsheetml/2009/9/main" objectType="Radio"/>
</file>

<file path=xl/ctrlProps/ctrlProp111.xml><?xml version="1.0" encoding="utf-8"?>
<formControlPr xmlns="http://schemas.microsoft.com/office/spreadsheetml/2009/9/main" objectType="Radio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checked="Checked" firstButton="1" fmlaLink="$N$9" lockText="1"/>
</file>

<file path=xl/ctrlProps/ctrlProp114.xml><?xml version="1.0" encoding="utf-8"?>
<formControlPr xmlns="http://schemas.microsoft.com/office/spreadsheetml/2009/9/main" objectType="Radio" lockText="1"/>
</file>

<file path=xl/ctrlProps/ctrlProp115.xml><?xml version="1.0" encoding="utf-8"?>
<formControlPr xmlns="http://schemas.microsoft.com/office/spreadsheetml/2009/9/main" objectType="Radio"/>
</file>

<file path=xl/ctrlProps/ctrlProp116.xml><?xml version="1.0" encoding="utf-8"?>
<formControlPr xmlns="http://schemas.microsoft.com/office/spreadsheetml/2009/9/main" objectType="Radio"/>
</file>

<file path=xl/ctrlProps/ctrlProp117.xml><?xml version="1.0" encoding="utf-8"?>
<formControlPr xmlns="http://schemas.microsoft.com/office/spreadsheetml/2009/9/main" objectType="Radio" firstButton="1" fmlaLink="$N$13" lockText="1"/>
</file>

<file path=xl/ctrlProps/ctrlProp118.xml><?xml version="1.0" encoding="utf-8"?>
<formControlPr xmlns="http://schemas.microsoft.com/office/spreadsheetml/2009/9/main" objectType="Radio" lockText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/>
</file>

<file path=xl/ctrlProps/ctrlProp120.xml><?xml version="1.0" encoding="utf-8"?>
<formControlPr xmlns="http://schemas.microsoft.com/office/spreadsheetml/2009/9/main" objectType="Radio" firstButton="1" fmlaLink="$N$11" lockText="1"/>
</file>

<file path=xl/ctrlProps/ctrlProp121.xml><?xml version="1.0" encoding="utf-8"?>
<formControlPr xmlns="http://schemas.microsoft.com/office/spreadsheetml/2009/9/main" objectType="Radio" lockText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fmlaLink="$N$21"/>
</file>

<file path=xl/ctrlProps/ctrlProp125.xml><?xml version="1.0" encoding="utf-8"?>
<formControlPr xmlns="http://schemas.microsoft.com/office/spreadsheetml/2009/9/main" objectType="Radio"/>
</file>

<file path=xl/ctrlProps/ctrlProp126.xml><?xml version="1.0" encoding="utf-8"?>
<formControlPr xmlns="http://schemas.microsoft.com/office/spreadsheetml/2009/9/main" objectType="Radio"/>
</file>

<file path=xl/ctrlProps/ctrlProp127.xml><?xml version="1.0" encoding="utf-8"?>
<formControlPr xmlns="http://schemas.microsoft.com/office/spreadsheetml/2009/9/main" objectType="Radio"/>
</file>

<file path=xl/ctrlProps/ctrlProp128.xml><?xml version="1.0" encoding="utf-8"?>
<formControlPr xmlns="http://schemas.microsoft.com/office/spreadsheetml/2009/9/main" objectType="Radio"/>
</file>

<file path=xl/ctrlProps/ctrlProp129.xml><?xml version="1.0" encoding="utf-8"?>
<formControlPr xmlns="http://schemas.microsoft.com/office/spreadsheetml/2009/9/main" objectType="Radio"/>
</file>

<file path=xl/ctrlProps/ctrlProp13.xml><?xml version="1.0" encoding="utf-8"?>
<formControlPr xmlns="http://schemas.microsoft.com/office/spreadsheetml/2009/9/main" objectType="Radio"/>
</file>

<file path=xl/ctrlProps/ctrlProp130.xml><?xml version="1.0" encoding="utf-8"?>
<formControlPr xmlns="http://schemas.microsoft.com/office/spreadsheetml/2009/9/main" objectType="Radio"/>
</file>

<file path=xl/ctrlProps/ctrlProp131.xml><?xml version="1.0" encoding="utf-8"?>
<formControlPr xmlns="http://schemas.microsoft.com/office/spreadsheetml/2009/9/main" objectType="Radio"/>
</file>

<file path=xl/ctrlProps/ctrlProp132.xml><?xml version="1.0" encoding="utf-8"?>
<formControlPr xmlns="http://schemas.microsoft.com/office/spreadsheetml/2009/9/main" objectType="Radio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Radio" firstButton="1" fmlaLink="$N$9" lockText="1"/>
</file>

<file path=xl/ctrlProps/ctrlProp135.xml><?xml version="1.0" encoding="utf-8"?>
<formControlPr xmlns="http://schemas.microsoft.com/office/spreadsheetml/2009/9/main" objectType="Radio" lockText="1"/>
</file>

<file path=xl/ctrlProps/ctrlProp136.xml><?xml version="1.0" encoding="utf-8"?>
<formControlPr xmlns="http://schemas.microsoft.com/office/spreadsheetml/2009/9/main" objectType="Radio"/>
</file>

<file path=xl/ctrlProps/ctrlProp137.xml><?xml version="1.0" encoding="utf-8"?>
<formControlPr xmlns="http://schemas.microsoft.com/office/spreadsheetml/2009/9/main" objectType="Radio"/>
</file>

<file path=xl/ctrlProps/ctrlProp138.xml><?xml version="1.0" encoding="utf-8"?>
<formControlPr xmlns="http://schemas.microsoft.com/office/spreadsheetml/2009/9/main" objectType="Radio" firstButton="1" fmlaLink="$N$13" lockText="1"/>
</file>

<file path=xl/ctrlProps/ctrlProp139.xml><?xml version="1.0" encoding="utf-8"?>
<formControlPr xmlns="http://schemas.microsoft.com/office/spreadsheetml/2009/9/main" objectType="Radio" lockText="1"/>
</file>

<file path=xl/ctrlProps/ctrlProp14.xml><?xml version="1.0" encoding="utf-8"?>
<formControlPr xmlns="http://schemas.microsoft.com/office/spreadsheetml/2009/9/main" objectType="Radio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Radio" firstButton="1" fmlaLink="$N$11" lockText="1"/>
</file>

<file path=xl/ctrlProps/ctrlProp142.xml><?xml version="1.0" encoding="utf-8"?>
<formControlPr xmlns="http://schemas.microsoft.com/office/spreadsheetml/2009/9/main" objectType="Radio" lockText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Radio" firstButton="1" fmlaLink="$N$21"/>
</file>

<file path=xl/ctrlProps/ctrlProp146.xml><?xml version="1.0" encoding="utf-8"?>
<formControlPr xmlns="http://schemas.microsoft.com/office/spreadsheetml/2009/9/main" objectType="Radio"/>
</file>

<file path=xl/ctrlProps/ctrlProp147.xml><?xml version="1.0" encoding="utf-8"?>
<formControlPr xmlns="http://schemas.microsoft.com/office/spreadsheetml/2009/9/main" objectType="Radio"/>
</file>

<file path=xl/ctrlProps/ctrlProp148.xml><?xml version="1.0" encoding="utf-8"?>
<formControlPr xmlns="http://schemas.microsoft.com/office/spreadsheetml/2009/9/main" objectType="Radio"/>
</file>

<file path=xl/ctrlProps/ctrlProp149.xml><?xml version="1.0" encoding="utf-8"?>
<formControlPr xmlns="http://schemas.microsoft.com/office/spreadsheetml/2009/9/main" objectType="Radio"/>
</file>

<file path=xl/ctrlProps/ctrlProp15.xml><?xml version="1.0" encoding="utf-8"?>
<formControlPr xmlns="http://schemas.microsoft.com/office/spreadsheetml/2009/9/main" objectType="Radio"/>
</file>

<file path=xl/ctrlProps/ctrlProp150.xml><?xml version="1.0" encoding="utf-8"?>
<formControlPr xmlns="http://schemas.microsoft.com/office/spreadsheetml/2009/9/main" objectType="Radio"/>
</file>

<file path=xl/ctrlProps/ctrlProp151.xml><?xml version="1.0" encoding="utf-8"?>
<formControlPr xmlns="http://schemas.microsoft.com/office/spreadsheetml/2009/9/main" objectType="Radio"/>
</file>

<file path=xl/ctrlProps/ctrlProp152.xml><?xml version="1.0" encoding="utf-8"?>
<formControlPr xmlns="http://schemas.microsoft.com/office/spreadsheetml/2009/9/main" objectType="Radio"/>
</file>

<file path=xl/ctrlProps/ctrlProp153.xml><?xml version="1.0" encoding="utf-8"?>
<formControlPr xmlns="http://schemas.microsoft.com/office/spreadsheetml/2009/9/main" objectType="Radio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checked="Checked" firstButton="1" fmlaLink="$N$9" lockText="1"/>
</file>

<file path=xl/ctrlProps/ctrlProp156.xml><?xml version="1.0" encoding="utf-8"?>
<formControlPr xmlns="http://schemas.microsoft.com/office/spreadsheetml/2009/9/main" objectType="Radio"/>
</file>

<file path=xl/ctrlProps/ctrlProp157.xml><?xml version="1.0" encoding="utf-8"?>
<formControlPr xmlns="http://schemas.microsoft.com/office/spreadsheetml/2009/9/main" objectType="Radio"/>
</file>

<file path=xl/ctrlProps/ctrlProp158.xml><?xml version="1.0" encoding="utf-8"?>
<formControlPr xmlns="http://schemas.microsoft.com/office/spreadsheetml/2009/9/main" objectType="Radio" firstButton="1" fmlaLink="$N$13" lockText="1"/>
</file>

<file path=xl/ctrlProps/ctrlProp159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Radio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Radio" firstButton="1" fmlaLink="$N$11" lockText="1"/>
</file>

<file path=xl/ctrlProps/ctrlProp162.xml><?xml version="1.0" encoding="utf-8"?>
<formControlPr xmlns="http://schemas.microsoft.com/office/spreadsheetml/2009/9/main" objectType="Radio" lockText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Radio" firstButton="1" fmlaLink="$N$9" lockText="1"/>
</file>

<file path=xl/ctrlProps/ctrlProp165.xml><?xml version="1.0" encoding="utf-8"?>
<formControlPr xmlns="http://schemas.microsoft.com/office/spreadsheetml/2009/9/main" objectType="Radio" lockText="1"/>
</file>

<file path=xl/ctrlProps/ctrlProp166.xml><?xml version="1.0" encoding="utf-8"?>
<formControlPr xmlns="http://schemas.microsoft.com/office/spreadsheetml/2009/9/main" objectType="Radio" firstButton="1" fmlaLink="$N$21" lockText="1"/>
</file>

<file path=xl/ctrlProps/ctrlProp167.xml><?xml version="1.0" encoding="utf-8"?>
<formControlPr xmlns="http://schemas.microsoft.com/office/spreadsheetml/2009/9/main" objectType="Radio" lockText="1"/>
</file>

<file path=xl/ctrlProps/ctrlProp168.xml><?xml version="1.0" encoding="utf-8"?>
<formControlPr xmlns="http://schemas.microsoft.com/office/spreadsheetml/2009/9/main" objectType="Radio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firstButton="1" fmlaLink="$N$13" lockText="1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lockText="1"/>
</file>

<file path=xl/ctrlProps/ctrlProp177.xml><?xml version="1.0" encoding="utf-8"?>
<formControlPr xmlns="http://schemas.microsoft.com/office/spreadsheetml/2009/9/main" objectType="Radio" lockText="1"/>
</file>

<file path=xl/ctrlProps/ctrlProp178.xml><?xml version="1.0" encoding="utf-8"?>
<formControlPr xmlns="http://schemas.microsoft.com/office/spreadsheetml/2009/9/main" objectType="Radio" lockText="1"/>
</file>

<file path=xl/ctrlProps/ctrlProp179.xml><?xml version="1.0" encoding="utf-8"?>
<formControlPr xmlns="http://schemas.microsoft.com/office/spreadsheetml/2009/9/main" objectType="Radio" lockText="1"/>
</file>

<file path=xl/ctrlProps/ctrlProp18.xml><?xml version="1.0" encoding="utf-8"?>
<formControlPr xmlns="http://schemas.microsoft.com/office/spreadsheetml/2009/9/main" objectType="Radio" lockText="1"/>
</file>

<file path=xl/ctrlProps/ctrlProp180.xml><?xml version="1.0" encoding="utf-8"?>
<formControlPr xmlns="http://schemas.microsoft.com/office/spreadsheetml/2009/9/main" objectType="Radio" lockText="1"/>
</file>

<file path=xl/ctrlProps/ctrlProp181.xml><?xml version="1.0" encoding="utf-8"?>
<formControlPr xmlns="http://schemas.microsoft.com/office/spreadsheetml/2009/9/main" objectType="Radio" lockText="1"/>
</file>

<file path=xl/ctrlProps/ctrlProp182.xml><?xml version="1.0" encoding="utf-8"?>
<formControlPr xmlns="http://schemas.microsoft.com/office/spreadsheetml/2009/9/main" objectType="Radio" lockText="1"/>
</file>

<file path=xl/ctrlProps/ctrlProp183.xml><?xml version="1.0" encoding="utf-8"?>
<formControlPr xmlns="http://schemas.microsoft.com/office/spreadsheetml/2009/9/main" objectType="Radio" lockText="1"/>
</file>

<file path=xl/ctrlProps/ctrlProp184.xml><?xml version="1.0" encoding="utf-8"?>
<formControlPr xmlns="http://schemas.microsoft.com/office/spreadsheetml/2009/9/main" objectType="Radio" lockText="1"/>
</file>

<file path=xl/ctrlProps/ctrlProp185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Radio" firstButton="1" fmlaLink="$N$13" lockText="1"/>
</file>

<file path=xl/ctrlProps/ctrlProp188.xml><?xml version="1.0" encoding="utf-8"?>
<formControlPr xmlns="http://schemas.microsoft.com/office/spreadsheetml/2009/9/main" objectType="Radio" lockText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Radio" firstButton="1" fmlaLink="$N$11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Radio" checked="Checked" firstButton="1" fmlaLink="$N$9" lockText="1"/>
</file>

<file path=xl/ctrlProps/ctrlProp196.xml><?xml version="1.0" encoding="utf-8"?>
<formControlPr xmlns="http://schemas.microsoft.com/office/spreadsheetml/2009/9/main" objectType="Radio" firstButton="1" fmlaLink="$N$21" lockText="1"/>
</file>

<file path=xl/ctrlProps/ctrlProp197.xml><?xml version="1.0" encoding="utf-8"?>
<formControlPr xmlns="http://schemas.microsoft.com/office/spreadsheetml/2009/9/main" objectType="Radio" lockText="1"/>
</file>

<file path=xl/ctrlProps/ctrlProp198.xml><?xml version="1.0" encoding="utf-8"?>
<formControlPr xmlns="http://schemas.microsoft.com/office/spreadsheetml/2009/9/main" objectType="Radio" lockText="1"/>
</file>

<file path=xl/ctrlProps/ctrlProp199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Radio" lockText="1"/>
</file>

<file path=xl/ctrlProps/ctrlProp201.xml><?xml version="1.0" encoding="utf-8"?>
<formControlPr xmlns="http://schemas.microsoft.com/office/spreadsheetml/2009/9/main" objectType="Radio" lockText="1"/>
</file>

<file path=xl/ctrlProps/ctrlProp202.xml><?xml version="1.0" encoding="utf-8"?>
<formControlPr xmlns="http://schemas.microsoft.com/office/spreadsheetml/2009/9/main" objectType="Radio" lockText="1"/>
</file>

<file path=xl/ctrlProps/ctrlProp203.xml><?xml version="1.0" encoding="utf-8"?>
<formControlPr xmlns="http://schemas.microsoft.com/office/spreadsheetml/2009/9/main" objectType="Radio" lockText="1"/>
</file>

<file path=xl/ctrlProps/ctrlProp204.xml><?xml version="1.0" encoding="utf-8"?>
<formControlPr xmlns="http://schemas.microsoft.com/office/spreadsheetml/2009/9/main" objectType="Radio" lockText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Radio" firstButton="1" fmlaLink="$N$24" lockText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Radio" firstButton="1" fmlaLink="$N$25" lockText="1"/>
</file>

<file path=xl/ctrlProps/ctrlProp209.xml><?xml version="1.0" encoding="utf-8"?>
<formControlPr xmlns="http://schemas.microsoft.com/office/spreadsheetml/2009/9/main" objectType="Radio" lockText="1"/>
</file>

<file path=xl/ctrlProps/ctrlProp21.xml><?xml version="1.0" encoding="utf-8"?>
<formControlPr xmlns="http://schemas.microsoft.com/office/spreadsheetml/2009/9/main" objectType="Radio" firstButton="1" fmlaLink="$N$9" lockText="1"/>
</file>

<file path=xl/ctrlProps/ctrlProp210.xml><?xml version="1.0" encoding="utf-8"?>
<formControlPr xmlns="http://schemas.microsoft.com/office/spreadsheetml/2009/9/main" objectType="Radio" lockText="1"/>
</file>

<file path=xl/ctrlProps/ctrlProp211.xml><?xml version="1.0" encoding="utf-8"?>
<formControlPr xmlns="http://schemas.microsoft.com/office/spreadsheetml/2009/9/main" objectType="Radio" lockText="1"/>
</file>

<file path=xl/ctrlProps/ctrlProp212.xml><?xml version="1.0" encoding="utf-8"?>
<formControlPr xmlns="http://schemas.microsoft.com/office/spreadsheetml/2009/9/main" objectType="Radio" lockText="1"/>
</file>

<file path=xl/ctrlProps/ctrlProp213.xml><?xml version="1.0" encoding="utf-8"?>
<formControlPr xmlns="http://schemas.microsoft.com/office/spreadsheetml/2009/9/main" objectType="Radio" lockText="1"/>
</file>

<file path=xl/ctrlProps/ctrlProp214.xml><?xml version="1.0" encoding="utf-8"?>
<formControlPr xmlns="http://schemas.microsoft.com/office/spreadsheetml/2009/9/main" objectType="Radio" lockText="1"/>
</file>

<file path=xl/ctrlProps/ctrlProp215.xml><?xml version="1.0" encoding="utf-8"?>
<formControlPr xmlns="http://schemas.microsoft.com/office/spreadsheetml/2009/9/main" objectType="Radio" lockText="1"/>
</file>

<file path=xl/ctrlProps/ctrlProp216.xml><?xml version="1.0" encoding="utf-8"?>
<formControlPr xmlns="http://schemas.microsoft.com/office/spreadsheetml/2009/9/main" objectType="Radio" lockText="1"/>
</file>

<file path=xl/ctrlProps/ctrlProp217.xml><?xml version="1.0" encoding="utf-8"?>
<formControlPr xmlns="http://schemas.microsoft.com/office/spreadsheetml/2009/9/main" objectType="Radio" firstButton="1" fmlaLink="$N$13" lockText="1"/>
</file>

<file path=xl/ctrlProps/ctrlProp218.xml><?xml version="1.0" encoding="utf-8"?>
<formControlPr xmlns="http://schemas.microsoft.com/office/spreadsheetml/2009/9/main" objectType="Radio" lockText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lockText="1"/>
</file>

<file path=xl/ctrlProps/ctrlProp220.xml><?xml version="1.0" encoding="utf-8"?>
<formControlPr xmlns="http://schemas.microsoft.com/office/spreadsheetml/2009/9/main" objectType="Radio" firstButton="1" fmlaLink="$N$11" lockText="1"/>
</file>

<file path=xl/ctrlProps/ctrlProp221.xml><?xml version="1.0" encoding="utf-8"?>
<formControlPr xmlns="http://schemas.microsoft.com/office/spreadsheetml/2009/9/main" objectType="Radio" lockText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Radio" firstButton="1" fmlaLink="$N$9" lockText="1"/>
</file>

<file path=xl/ctrlProps/ctrlProp226.xml><?xml version="1.0" encoding="utf-8"?>
<formControlPr xmlns="http://schemas.microsoft.com/office/spreadsheetml/2009/9/main" objectType="Radio" firstButton="1" fmlaLink="$N$16" lockText="1"/>
</file>

<file path=xl/ctrlProps/ctrlProp227.xml><?xml version="1.0" encoding="utf-8"?>
<formControlPr xmlns="http://schemas.microsoft.com/office/spreadsheetml/2009/9/main" objectType="Radio" lockText="1"/>
</file>

<file path=xl/ctrlProps/ctrlProp228.xml><?xml version="1.0" encoding="utf-8"?>
<formControlPr xmlns="http://schemas.microsoft.com/office/spreadsheetml/2009/9/main" objectType="Radio" lockText="1"/>
</file>

<file path=xl/ctrlProps/ctrlProp22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Radio" firstButton="1" fmlaLink="$N$17" lockText="1"/>
</file>

<file path=xl/ctrlProps/ctrlProp231.xml><?xml version="1.0" encoding="utf-8"?>
<formControlPr xmlns="http://schemas.microsoft.com/office/spreadsheetml/2009/9/main" objectType="Radio" firstButton="1" fmlaLink="$N$18" lockText="1"/>
</file>

<file path=xl/ctrlProps/ctrlProp232.xml><?xml version="1.0" encoding="utf-8"?>
<formControlPr xmlns="http://schemas.microsoft.com/office/spreadsheetml/2009/9/main" objectType="Radio" lockText="1"/>
</file>

<file path=xl/ctrlProps/ctrlProp233.xml><?xml version="1.0" encoding="utf-8"?>
<formControlPr xmlns="http://schemas.microsoft.com/office/spreadsheetml/2009/9/main" objectType="Radio" lockText="1"/>
</file>

<file path=xl/ctrlProps/ctrlProp234.xml><?xml version="1.0" encoding="utf-8"?>
<formControlPr xmlns="http://schemas.microsoft.com/office/spreadsheetml/2009/9/main" objectType="Radio" lockText="1"/>
</file>

<file path=xl/ctrlProps/ctrlProp235.xml><?xml version="1.0" encoding="utf-8"?>
<formControlPr xmlns="http://schemas.microsoft.com/office/spreadsheetml/2009/9/main" objectType="Radio" lockText="1"/>
</file>

<file path=xl/ctrlProps/ctrlProp236.xml><?xml version="1.0" encoding="utf-8"?>
<formControlPr xmlns="http://schemas.microsoft.com/office/spreadsheetml/2009/9/main" objectType="Radio" lockText="1"/>
</file>

<file path=xl/ctrlProps/ctrlProp237.xml><?xml version="1.0" encoding="utf-8"?>
<formControlPr xmlns="http://schemas.microsoft.com/office/spreadsheetml/2009/9/main" objectType="Radio" firstButton="1" fmlaLink="$N$13" lockText="1"/>
</file>

<file path=xl/ctrlProps/ctrlProp238.xml><?xml version="1.0" encoding="utf-8"?>
<formControlPr xmlns="http://schemas.microsoft.com/office/spreadsheetml/2009/9/main" objectType="Radio" lockText="1"/>
</file>

<file path=xl/ctrlProps/ctrlProp23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Radio" firstButton="1" fmlaLink="$N$11" lockText="1"/>
</file>

<file path=xl/ctrlProps/ctrlProp240.xml><?xml version="1.0" encoding="utf-8"?>
<formControlPr xmlns="http://schemas.microsoft.com/office/spreadsheetml/2009/9/main" objectType="Radio" firstButton="1" fmlaLink="$N$11" lockText="1"/>
</file>

<file path=xl/ctrlProps/ctrlProp241.xml><?xml version="1.0" encoding="utf-8"?>
<formControlPr xmlns="http://schemas.microsoft.com/office/spreadsheetml/2009/9/main" objectType="Radio" lockText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Radio" lockText="1"/>
</file>

<file path=xl/ctrlProps/ctrlProp244.xml><?xml version="1.0" encoding="utf-8"?>
<formControlPr xmlns="http://schemas.microsoft.com/office/spreadsheetml/2009/9/main" objectType="Radio" lockText="1"/>
</file>

<file path=xl/ctrlProps/ctrlProp245.xml><?xml version="1.0" encoding="utf-8"?>
<formControlPr xmlns="http://schemas.microsoft.com/office/spreadsheetml/2009/9/main" objectType="Radio" lockText="1"/>
</file>

<file path=xl/ctrlProps/ctrlProp246.xml><?xml version="1.0" encoding="utf-8"?>
<formControlPr xmlns="http://schemas.microsoft.com/office/spreadsheetml/2009/9/main" objectType="Radio" lockText="1"/>
</file>

<file path=xl/ctrlProps/ctrlProp247.xml><?xml version="1.0" encoding="utf-8"?>
<formControlPr xmlns="http://schemas.microsoft.com/office/spreadsheetml/2009/9/main" objectType="Radio" checked="Checked" lockText="1"/>
</file>

<file path=xl/ctrlProps/ctrlProp248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Radio" lockText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Radio" firstButton="1" fmlaLink="$N$9" lockText="1"/>
</file>

<file path=xl/ctrlProps/ctrlProp252.xml><?xml version="1.0" encoding="utf-8"?>
<formControlPr xmlns="http://schemas.microsoft.com/office/spreadsheetml/2009/9/main" objectType="Radio" firstButton="1" fmlaLink="$N$21" lockText="1"/>
</file>

<file path=xl/ctrlProps/ctrlProp253.xml><?xml version="1.0" encoding="utf-8"?>
<formControlPr xmlns="http://schemas.microsoft.com/office/spreadsheetml/2009/9/main" objectType="Radio" lockText="1"/>
</file>

<file path=xl/ctrlProps/ctrlProp254.xml><?xml version="1.0" encoding="utf-8"?>
<formControlPr xmlns="http://schemas.microsoft.com/office/spreadsheetml/2009/9/main" objectType="Radio" lockText="1"/>
</file>

<file path=xl/ctrlProps/ctrlProp255.xml><?xml version="1.0" encoding="utf-8"?>
<formControlPr xmlns="http://schemas.microsoft.com/office/spreadsheetml/2009/9/main" objectType="Radio" lockText="1"/>
</file>

<file path=xl/ctrlProps/ctrlProp256.xml><?xml version="1.0" encoding="utf-8"?>
<formControlPr xmlns="http://schemas.microsoft.com/office/spreadsheetml/2009/9/main" objectType="Radio" lockText="1"/>
</file>

<file path=xl/ctrlProps/ctrlProp257.xml><?xml version="1.0" encoding="utf-8"?>
<formControlPr xmlns="http://schemas.microsoft.com/office/spreadsheetml/2009/9/main" objectType="Radio" lockText="1"/>
</file>

<file path=xl/ctrlProps/ctrlProp258.xml><?xml version="1.0" encoding="utf-8"?>
<formControlPr xmlns="http://schemas.microsoft.com/office/spreadsheetml/2009/9/main" objectType="Radio" lockText="1"/>
</file>

<file path=xl/ctrlProps/ctrlProp259.xml><?xml version="1.0" encoding="utf-8"?>
<formControlPr xmlns="http://schemas.microsoft.com/office/spreadsheetml/2009/9/main" objectType="Radio" lockText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Radio" lockText="1"/>
</file>

<file path=xl/ctrlProps/ctrlProp261.xml><?xml version="1.0" encoding="utf-8"?>
<formControlPr xmlns="http://schemas.microsoft.com/office/spreadsheetml/2009/9/main" objectType="Radio" lockText="1"/>
</file>

<file path=xl/ctrlProps/ctrlProp262.xml><?xml version="1.0" encoding="utf-8"?>
<formControlPr xmlns="http://schemas.microsoft.com/office/spreadsheetml/2009/9/main" objectType="Radio" lockText="1"/>
</file>

<file path=xl/ctrlProps/ctrlProp263.xml><?xml version="1.0" encoding="utf-8"?>
<formControlPr xmlns="http://schemas.microsoft.com/office/spreadsheetml/2009/9/main" objectType="Radio" lockText="1"/>
</file>

<file path=xl/ctrlProps/ctrlProp264.xml><?xml version="1.0" encoding="utf-8"?>
<formControlPr xmlns="http://schemas.microsoft.com/office/spreadsheetml/2009/9/main" objectType="Radio" firstButton="1" fmlaLink="$N$13" lockText="1"/>
</file>

<file path=xl/ctrlProps/ctrlProp265.xml><?xml version="1.0" encoding="utf-8"?>
<formControlPr xmlns="http://schemas.microsoft.com/office/spreadsheetml/2009/9/main" objectType="Radio" lockText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Radio" firstButton="1" fmlaLink="$N$11" lockText="1"/>
</file>

<file path=xl/ctrlProps/ctrlProp268.xml><?xml version="1.0" encoding="utf-8"?>
<formControlPr xmlns="http://schemas.microsoft.com/office/spreadsheetml/2009/9/main" objectType="Radio" lockText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Radio" firstButton="1" fmlaLink="$N$2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fmlaLink="$N$9" lockText="1"/>
</file>

<file path=xl/ctrlProps/ctrlProp273.xml><?xml version="1.0" encoding="utf-8"?>
<formControlPr xmlns="http://schemas.microsoft.com/office/spreadsheetml/2009/9/main" objectType="Radio" firstButton="1" fmlaLink="$N$21" lockText="1"/>
</file>

<file path=xl/ctrlProps/ctrlProp274.xml><?xml version="1.0" encoding="utf-8"?>
<formControlPr xmlns="http://schemas.microsoft.com/office/spreadsheetml/2009/9/main" objectType="Radio" lockText="1"/>
</file>

<file path=xl/ctrlProps/ctrlProp275.xml><?xml version="1.0" encoding="utf-8"?>
<formControlPr xmlns="http://schemas.microsoft.com/office/spreadsheetml/2009/9/main" objectType="Radio" lockText="1"/>
</file>

<file path=xl/ctrlProps/ctrlProp276.xml><?xml version="1.0" encoding="utf-8"?>
<formControlPr xmlns="http://schemas.microsoft.com/office/spreadsheetml/2009/9/main" objectType="Radio" firstButton="1" fmlaLink="$N$13" lockText="1"/>
</file>

<file path=xl/ctrlProps/ctrlProp277.xml><?xml version="1.0" encoding="utf-8"?>
<formControlPr xmlns="http://schemas.microsoft.com/office/spreadsheetml/2009/9/main" objectType="Radio" lockText="1"/>
</file>

<file path=xl/ctrlProps/ctrlProp278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Radio" firstButton="1" fmlaLink="$N$11" lockText="1"/>
</file>

<file path=xl/ctrlProps/ctrlProp28.xml><?xml version="1.0" encoding="utf-8"?>
<formControlPr xmlns="http://schemas.microsoft.com/office/spreadsheetml/2009/9/main" objectType="Radio"/>
</file>

<file path=xl/ctrlProps/ctrlProp280.xml><?xml version="1.0" encoding="utf-8"?>
<formControlPr xmlns="http://schemas.microsoft.com/office/spreadsheetml/2009/9/main" objectType="Radio" lockText="1"/>
</file>

<file path=xl/ctrlProps/ctrlProp281.xml><?xml version="1.0" encoding="utf-8"?>
<formControlPr xmlns="http://schemas.microsoft.com/office/spreadsheetml/2009/9/main" objectType="Radio" lockText="1"/>
</file>

<file path=xl/ctrlProps/ctrlProp282.xml><?xml version="1.0" encoding="utf-8"?>
<formControlPr xmlns="http://schemas.microsoft.com/office/spreadsheetml/2009/9/main" objectType="Radio" lockText="1"/>
</file>

<file path=xl/ctrlProps/ctrlProp283.xml><?xml version="1.0" encoding="utf-8"?>
<formControlPr xmlns="http://schemas.microsoft.com/office/spreadsheetml/2009/9/main" objectType="Radio" lockText="1"/>
</file>

<file path=xl/ctrlProps/ctrlProp284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/>
</file>

<file path=xl/ctrlProps/ctrlProp3.xml><?xml version="1.0" encoding="utf-8"?>
<formControlPr xmlns="http://schemas.microsoft.com/office/spreadsheetml/2009/9/main" objectType="Radio"/>
</file>

<file path=xl/ctrlProps/ctrlProp30.xml><?xml version="1.0" encoding="utf-8"?>
<formControlPr xmlns="http://schemas.microsoft.com/office/spreadsheetml/2009/9/main" objectType="Radio"/>
</file>

<file path=xl/ctrlProps/ctrlProp31.xml><?xml version="1.0" encoding="utf-8"?>
<formControlPr xmlns="http://schemas.microsoft.com/office/spreadsheetml/2009/9/main" objectType="Radio"/>
</file>

<file path=xl/ctrlProps/ctrlProp32.xml><?xml version="1.0" encoding="utf-8"?>
<formControlPr xmlns="http://schemas.microsoft.com/office/spreadsheetml/2009/9/main" objectType="Radio"/>
</file>

<file path=xl/ctrlProps/ctrlProp33.xml><?xml version="1.0" encoding="utf-8"?>
<formControlPr xmlns="http://schemas.microsoft.com/office/spreadsheetml/2009/9/main" objectType="Radio"/>
</file>

<file path=xl/ctrlProps/ctrlProp34.xml><?xml version="1.0" encoding="utf-8"?>
<formControlPr xmlns="http://schemas.microsoft.com/office/spreadsheetml/2009/9/main" objectType="Radio"/>
</file>

<file path=xl/ctrlProps/ctrlProp35.xml><?xml version="1.0" encoding="utf-8"?>
<formControlPr xmlns="http://schemas.microsoft.com/office/spreadsheetml/2009/9/main" objectType="Radio"/>
</file>

<file path=xl/ctrlProps/ctrlProp36.xml><?xml version="1.0" encoding="utf-8"?>
<formControlPr xmlns="http://schemas.microsoft.com/office/spreadsheetml/2009/9/main" objectType="Radio" noThreeD="1"/>
</file>

<file path=xl/ctrlProps/ctrlProp37.xml><?xml version="1.0" encoding="utf-8"?>
<formControlPr xmlns="http://schemas.microsoft.com/office/spreadsheetml/2009/9/main" objectType="Radio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/>
</file>

<file path=xl/ctrlProps/ctrlProp40.xml><?xml version="1.0" encoding="utf-8"?>
<formControlPr xmlns="http://schemas.microsoft.com/office/spreadsheetml/2009/9/main" objectType="Radio" firstButton="1" fmlaLink="$N$13" lockText="1"/>
</file>

<file path=xl/ctrlProps/ctrlProp41.xml><?xml version="1.0" encoding="utf-8"?>
<formControlPr xmlns="http://schemas.microsoft.com/office/spreadsheetml/2009/9/main" objectType="Radio" lockText="1"/>
</file>

<file path=xl/ctrlProps/ctrlProp42.xml><?xml version="1.0" encoding="utf-8"?>
<formControlPr xmlns="http://schemas.microsoft.com/office/spreadsheetml/2009/9/main" objectType="Radio" firstButton="1" fmlaLink="$N$9" lockText="1"/>
</file>

<file path=xl/ctrlProps/ctrlProp43.xml><?xml version="1.0" encoding="utf-8"?>
<formControlPr xmlns="http://schemas.microsoft.com/office/spreadsheetml/2009/9/main" objectType="Radio" lockText="1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Radio" firstButton="1" fmlaLink="$N$11" lockText="1"/>
</file>

<file path=xl/ctrlProps/ctrlProp46.xml><?xml version="1.0" encoding="utf-8"?>
<formControlPr xmlns="http://schemas.microsoft.com/office/spreadsheetml/2009/9/main" objectType="Radio" lockText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Radio" firstButton="1" fmlaLink="$N$21"/>
</file>

<file path=xl/ctrlProps/ctrlProp49.xml><?xml version="1.0" encoding="utf-8"?>
<formControlPr xmlns="http://schemas.microsoft.com/office/spreadsheetml/2009/9/main" objectType="Radio"/>
</file>

<file path=xl/ctrlProps/ctrlProp5.xml><?xml version="1.0" encoding="utf-8"?>
<formControlPr xmlns="http://schemas.microsoft.com/office/spreadsheetml/2009/9/main" objectType="Radio"/>
</file>

<file path=xl/ctrlProps/ctrlProp50.xml><?xml version="1.0" encoding="utf-8"?>
<formControlPr xmlns="http://schemas.microsoft.com/office/spreadsheetml/2009/9/main" objectType="Radio"/>
</file>

<file path=xl/ctrlProps/ctrlProp51.xml><?xml version="1.0" encoding="utf-8"?>
<formControlPr xmlns="http://schemas.microsoft.com/office/spreadsheetml/2009/9/main" objectType="Radio"/>
</file>

<file path=xl/ctrlProps/ctrlProp52.xml><?xml version="1.0" encoding="utf-8"?>
<formControlPr xmlns="http://schemas.microsoft.com/office/spreadsheetml/2009/9/main" objectType="Radio"/>
</file>

<file path=xl/ctrlProps/ctrlProp53.xml><?xml version="1.0" encoding="utf-8"?>
<formControlPr xmlns="http://schemas.microsoft.com/office/spreadsheetml/2009/9/main" objectType="Radio"/>
</file>

<file path=xl/ctrlProps/ctrlProp54.xml><?xml version="1.0" encoding="utf-8"?>
<formControlPr xmlns="http://schemas.microsoft.com/office/spreadsheetml/2009/9/main" objectType="Radio"/>
</file>

<file path=xl/ctrlProps/ctrlProp55.xml><?xml version="1.0" encoding="utf-8"?>
<formControlPr xmlns="http://schemas.microsoft.com/office/spreadsheetml/2009/9/main" objectType="Radio"/>
</file>

<file path=xl/ctrlProps/ctrlProp56.xml><?xml version="1.0" encoding="utf-8"?>
<formControlPr xmlns="http://schemas.microsoft.com/office/spreadsheetml/2009/9/main" objectType="Radio"/>
</file>

<file path=xl/ctrlProps/ctrlProp57.xml><?xml version="1.0" encoding="utf-8"?>
<formControlPr xmlns="http://schemas.microsoft.com/office/spreadsheetml/2009/9/main" objectType="Radio"/>
</file>

<file path=xl/ctrlProps/ctrlProp58.xml><?xml version="1.0" encoding="utf-8"?>
<formControlPr xmlns="http://schemas.microsoft.com/office/spreadsheetml/2009/9/main" objectType="Radio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Radio" firstButton="1" fmlaLink="$N$13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Radio" firstButton="1" fmlaLink="$N$9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Radio" firstButton="1" fmlaLink="$N$11" lockText="1"/>
</file>

<file path=xl/ctrlProps/ctrlProp67.xml><?xml version="1.0" encoding="utf-8"?>
<formControlPr xmlns="http://schemas.microsoft.com/office/spreadsheetml/2009/9/main" objectType="Radio" lockText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firstButton="1" fmlaLink="$N$21"/>
</file>

<file path=xl/ctrlProps/ctrlProp7.xml><?xml version="1.0" encoding="utf-8"?>
<formControlPr xmlns="http://schemas.microsoft.com/office/spreadsheetml/2009/9/main" objectType="Radio"/>
</file>

<file path=xl/ctrlProps/ctrlProp70.xml><?xml version="1.0" encoding="utf-8"?>
<formControlPr xmlns="http://schemas.microsoft.com/office/spreadsheetml/2009/9/main" objectType="Radio"/>
</file>

<file path=xl/ctrlProps/ctrlProp71.xml><?xml version="1.0" encoding="utf-8"?>
<formControlPr xmlns="http://schemas.microsoft.com/office/spreadsheetml/2009/9/main" objectType="Radio"/>
</file>

<file path=xl/ctrlProps/ctrlProp72.xml><?xml version="1.0" encoding="utf-8"?>
<formControlPr xmlns="http://schemas.microsoft.com/office/spreadsheetml/2009/9/main" objectType="Radio"/>
</file>

<file path=xl/ctrlProps/ctrlProp73.xml><?xml version="1.0" encoding="utf-8"?>
<formControlPr xmlns="http://schemas.microsoft.com/office/spreadsheetml/2009/9/main" objectType="Radio"/>
</file>

<file path=xl/ctrlProps/ctrlProp74.xml><?xml version="1.0" encoding="utf-8"?>
<formControlPr xmlns="http://schemas.microsoft.com/office/spreadsheetml/2009/9/main" objectType="Radio"/>
</file>

<file path=xl/ctrlProps/ctrlProp75.xml><?xml version="1.0" encoding="utf-8"?>
<formControlPr xmlns="http://schemas.microsoft.com/office/spreadsheetml/2009/9/main" objectType="Radio"/>
</file>

<file path=xl/ctrlProps/ctrlProp76.xml><?xml version="1.0" encoding="utf-8"?>
<formControlPr xmlns="http://schemas.microsoft.com/office/spreadsheetml/2009/9/main" objectType="Radio"/>
</file>

<file path=xl/ctrlProps/ctrlProp77.xml><?xml version="1.0" encoding="utf-8"?>
<formControlPr xmlns="http://schemas.microsoft.com/office/spreadsheetml/2009/9/main" objectType="Radio"/>
</file>

<file path=xl/ctrlProps/ctrlProp78.xml><?xml version="1.0" encoding="utf-8"?>
<formControlPr xmlns="http://schemas.microsoft.com/office/spreadsheetml/2009/9/main" objectType="Radio"/>
</file>

<file path=xl/ctrlProps/ctrlProp79.xml><?xml version="1.0" encoding="utf-8"?>
<formControlPr xmlns="http://schemas.microsoft.com/office/spreadsheetml/2009/9/main" objectType="Radio"/>
</file>

<file path=xl/ctrlProps/ctrlProp8.xml><?xml version="1.0" encoding="utf-8"?>
<formControlPr xmlns="http://schemas.microsoft.com/office/spreadsheetml/2009/9/main" objectType="Radio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fmlaLink="$N$21"/>
</file>

<file path=xl/ctrlProps/ctrlProp83.xml><?xml version="1.0" encoding="utf-8"?>
<formControlPr xmlns="http://schemas.microsoft.com/office/spreadsheetml/2009/9/main" objectType="Radio"/>
</file>

<file path=xl/ctrlProps/ctrlProp84.xml><?xml version="1.0" encoding="utf-8"?>
<formControlPr xmlns="http://schemas.microsoft.com/office/spreadsheetml/2009/9/main" objectType="Radio"/>
</file>

<file path=xl/ctrlProps/ctrlProp85.xml><?xml version="1.0" encoding="utf-8"?>
<formControlPr xmlns="http://schemas.microsoft.com/office/spreadsheetml/2009/9/main" objectType="Radio"/>
</file>

<file path=xl/ctrlProps/ctrlProp86.xml><?xml version="1.0" encoding="utf-8"?>
<formControlPr xmlns="http://schemas.microsoft.com/office/spreadsheetml/2009/9/main" objectType="Radio"/>
</file>

<file path=xl/ctrlProps/ctrlProp87.xml><?xml version="1.0" encoding="utf-8"?>
<formControlPr xmlns="http://schemas.microsoft.com/office/spreadsheetml/2009/9/main" objectType="Radio"/>
</file>

<file path=xl/ctrlProps/ctrlProp88.xml><?xml version="1.0" encoding="utf-8"?>
<formControlPr xmlns="http://schemas.microsoft.com/office/spreadsheetml/2009/9/main" objectType="Radio"/>
</file>

<file path=xl/ctrlProps/ctrlProp89.xml><?xml version="1.0" encoding="utf-8"?>
<formControlPr xmlns="http://schemas.microsoft.com/office/spreadsheetml/2009/9/main" objectType="Radio"/>
</file>

<file path=xl/ctrlProps/ctrlProp9.xml><?xml version="1.0" encoding="utf-8"?>
<formControlPr xmlns="http://schemas.microsoft.com/office/spreadsheetml/2009/9/main" objectType="Radio"/>
</file>

<file path=xl/ctrlProps/ctrlProp90.xml><?xml version="1.0" encoding="utf-8"?>
<formControlPr xmlns="http://schemas.microsoft.com/office/spreadsheetml/2009/9/main" objectType="Radio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fmlaLink="$N$9" lockText="1"/>
</file>

<file path=xl/ctrlProps/ctrlProp93.xml><?xml version="1.0" encoding="utf-8"?>
<formControlPr xmlns="http://schemas.microsoft.com/office/spreadsheetml/2009/9/main" objectType="Radio" lockText="1"/>
</file>

<file path=xl/ctrlProps/ctrlProp94.xml><?xml version="1.0" encoding="utf-8"?>
<formControlPr xmlns="http://schemas.microsoft.com/office/spreadsheetml/2009/9/main" objectType="Radio"/>
</file>

<file path=xl/ctrlProps/ctrlProp95.xml><?xml version="1.0" encoding="utf-8"?>
<formControlPr xmlns="http://schemas.microsoft.com/office/spreadsheetml/2009/9/main" objectType="Radio"/>
</file>

<file path=xl/ctrlProps/ctrlProp96.xml><?xml version="1.0" encoding="utf-8"?>
<formControlPr xmlns="http://schemas.microsoft.com/office/spreadsheetml/2009/9/main" objectType="Radio" firstButton="1" fmlaLink="$N$13" lockText="1"/>
</file>

<file path=xl/ctrlProps/ctrlProp97.xml><?xml version="1.0" encoding="utf-8"?>
<formControlPr xmlns="http://schemas.microsoft.com/office/spreadsheetml/2009/9/main" objectType="Radio" lockText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fmlaLink="$N$11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0.emf"/><Relationship Id="rId18" Type="http://schemas.openxmlformats.org/officeDocument/2006/relationships/image" Target="../media/image155.emf"/><Relationship Id="rId26" Type="http://schemas.openxmlformats.org/officeDocument/2006/relationships/image" Target="../media/image163.jpeg"/><Relationship Id="rId39" Type="http://schemas.openxmlformats.org/officeDocument/2006/relationships/image" Target="../media/image176.emf"/><Relationship Id="rId21" Type="http://schemas.openxmlformats.org/officeDocument/2006/relationships/image" Target="../media/image158.emf"/><Relationship Id="rId34" Type="http://schemas.openxmlformats.org/officeDocument/2006/relationships/image" Target="../media/image171.emf"/><Relationship Id="rId42" Type="http://schemas.openxmlformats.org/officeDocument/2006/relationships/image" Target="../media/image179.emf"/><Relationship Id="rId47" Type="http://schemas.openxmlformats.org/officeDocument/2006/relationships/image" Target="../media/image184.emf"/><Relationship Id="rId50" Type="http://schemas.openxmlformats.org/officeDocument/2006/relationships/image" Target="../media/image187.emf"/><Relationship Id="rId55" Type="http://schemas.openxmlformats.org/officeDocument/2006/relationships/image" Target="../media/image191.jpeg"/><Relationship Id="rId63" Type="http://schemas.openxmlformats.org/officeDocument/2006/relationships/image" Target="../media/image199.jpeg"/><Relationship Id="rId68" Type="http://schemas.openxmlformats.org/officeDocument/2006/relationships/image" Target="../media/image203.png"/><Relationship Id="rId7" Type="http://schemas.openxmlformats.org/officeDocument/2006/relationships/image" Target="../media/image144.jpeg"/><Relationship Id="rId71" Type="http://schemas.openxmlformats.org/officeDocument/2006/relationships/image" Target="../media/image206.png"/><Relationship Id="rId2" Type="http://schemas.openxmlformats.org/officeDocument/2006/relationships/image" Target="../media/image139.emf"/><Relationship Id="rId16" Type="http://schemas.openxmlformats.org/officeDocument/2006/relationships/image" Target="../media/image153.emf"/><Relationship Id="rId29" Type="http://schemas.openxmlformats.org/officeDocument/2006/relationships/image" Target="../media/image166.emf"/><Relationship Id="rId11" Type="http://schemas.openxmlformats.org/officeDocument/2006/relationships/image" Target="../media/image148.emf"/><Relationship Id="rId24" Type="http://schemas.openxmlformats.org/officeDocument/2006/relationships/image" Target="../media/image161.jpeg"/><Relationship Id="rId32" Type="http://schemas.openxmlformats.org/officeDocument/2006/relationships/image" Target="../media/image169.emf"/><Relationship Id="rId37" Type="http://schemas.openxmlformats.org/officeDocument/2006/relationships/image" Target="../media/image174.emf"/><Relationship Id="rId40" Type="http://schemas.openxmlformats.org/officeDocument/2006/relationships/image" Target="../media/image177.emf"/><Relationship Id="rId45" Type="http://schemas.openxmlformats.org/officeDocument/2006/relationships/image" Target="../media/image182.emf"/><Relationship Id="rId53" Type="http://schemas.openxmlformats.org/officeDocument/2006/relationships/image" Target="../media/image31.jpeg"/><Relationship Id="rId58" Type="http://schemas.openxmlformats.org/officeDocument/2006/relationships/image" Target="../media/image194.png"/><Relationship Id="rId66" Type="http://schemas.openxmlformats.org/officeDocument/2006/relationships/image" Target="../media/image201.png"/><Relationship Id="rId74" Type="http://schemas.openxmlformats.org/officeDocument/2006/relationships/image" Target="../media/image80.png"/><Relationship Id="rId5" Type="http://schemas.openxmlformats.org/officeDocument/2006/relationships/image" Target="../media/image142.emf"/><Relationship Id="rId15" Type="http://schemas.openxmlformats.org/officeDocument/2006/relationships/image" Target="../media/image152.emf"/><Relationship Id="rId23" Type="http://schemas.openxmlformats.org/officeDocument/2006/relationships/image" Target="../media/image160.emf"/><Relationship Id="rId28" Type="http://schemas.openxmlformats.org/officeDocument/2006/relationships/image" Target="../media/image165.emf"/><Relationship Id="rId36" Type="http://schemas.openxmlformats.org/officeDocument/2006/relationships/image" Target="../media/image173.emf"/><Relationship Id="rId49" Type="http://schemas.openxmlformats.org/officeDocument/2006/relationships/image" Target="../media/image186.emf"/><Relationship Id="rId57" Type="http://schemas.openxmlformats.org/officeDocument/2006/relationships/image" Target="../media/image193.png"/><Relationship Id="rId61" Type="http://schemas.openxmlformats.org/officeDocument/2006/relationships/image" Target="../media/image197.png"/><Relationship Id="rId10" Type="http://schemas.openxmlformats.org/officeDocument/2006/relationships/image" Target="../media/image147.emf"/><Relationship Id="rId19" Type="http://schemas.openxmlformats.org/officeDocument/2006/relationships/image" Target="../media/image156.emf"/><Relationship Id="rId31" Type="http://schemas.openxmlformats.org/officeDocument/2006/relationships/image" Target="../media/image168.emf"/><Relationship Id="rId44" Type="http://schemas.openxmlformats.org/officeDocument/2006/relationships/image" Target="../media/image181.jpeg"/><Relationship Id="rId52" Type="http://schemas.openxmlformats.org/officeDocument/2006/relationships/image" Target="../media/image189.emf"/><Relationship Id="rId60" Type="http://schemas.openxmlformats.org/officeDocument/2006/relationships/image" Target="../media/image196.png"/><Relationship Id="rId65" Type="http://schemas.openxmlformats.org/officeDocument/2006/relationships/image" Target="../media/image200.jpeg"/><Relationship Id="rId73" Type="http://schemas.openxmlformats.org/officeDocument/2006/relationships/image" Target="../media/image79.png"/><Relationship Id="rId4" Type="http://schemas.openxmlformats.org/officeDocument/2006/relationships/image" Target="../media/image141.emf"/><Relationship Id="rId9" Type="http://schemas.openxmlformats.org/officeDocument/2006/relationships/image" Target="../media/image146.emf"/><Relationship Id="rId14" Type="http://schemas.openxmlformats.org/officeDocument/2006/relationships/image" Target="../media/image151.emf"/><Relationship Id="rId22" Type="http://schemas.openxmlformats.org/officeDocument/2006/relationships/image" Target="../media/image159.emf"/><Relationship Id="rId27" Type="http://schemas.openxmlformats.org/officeDocument/2006/relationships/image" Target="../media/image164.jpeg"/><Relationship Id="rId30" Type="http://schemas.openxmlformats.org/officeDocument/2006/relationships/image" Target="../media/image167.emf"/><Relationship Id="rId35" Type="http://schemas.openxmlformats.org/officeDocument/2006/relationships/image" Target="../media/image172.jpeg"/><Relationship Id="rId43" Type="http://schemas.openxmlformats.org/officeDocument/2006/relationships/image" Target="../media/image180.emf"/><Relationship Id="rId48" Type="http://schemas.openxmlformats.org/officeDocument/2006/relationships/image" Target="../media/image185.emf"/><Relationship Id="rId56" Type="http://schemas.openxmlformats.org/officeDocument/2006/relationships/image" Target="../media/image192.png"/><Relationship Id="rId64" Type="http://schemas.openxmlformats.org/officeDocument/2006/relationships/image" Target="../media/image73.png"/><Relationship Id="rId69" Type="http://schemas.openxmlformats.org/officeDocument/2006/relationships/image" Target="../media/image204.png"/><Relationship Id="rId8" Type="http://schemas.openxmlformats.org/officeDocument/2006/relationships/image" Target="../media/image145.emf"/><Relationship Id="rId51" Type="http://schemas.openxmlformats.org/officeDocument/2006/relationships/image" Target="../media/image188.emf"/><Relationship Id="rId72" Type="http://schemas.openxmlformats.org/officeDocument/2006/relationships/image" Target="../media/image207.png"/><Relationship Id="rId3" Type="http://schemas.openxmlformats.org/officeDocument/2006/relationships/image" Target="../media/image140.emf"/><Relationship Id="rId12" Type="http://schemas.openxmlformats.org/officeDocument/2006/relationships/image" Target="../media/image149.emf"/><Relationship Id="rId17" Type="http://schemas.openxmlformats.org/officeDocument/2006/relationships/image" Target="../media/image154.emf"/><Relationship Id="rId25" Type="http://schemas.openxmlformats.org/officeDocument/2006/relationships/image" Target="../media/image162.jpeg"/><Relationship Id="rId33" Type="http://schemas.openxmlformats.org/officeDocument/2006/relationships/image" Target="../media/image170.emf"/><Relationship Id="rId38" Type="http://schemas.openxmlformats.org/officeDocument/2006/relationships/image" Target="../media/image175.jpeg"/><Relationship Id="rId46" Type="http://schemas.openxmlformats.org/officeDocument/2006/relationships/image" Target="../media/image183.emf"/><Relationship Id="rId59" Type="http://schemas.openxmlformats.org/officeDocument/2006/relationships/image" Target="../media/image195.jpeg"/><Relationship Id="rId67" Type="http://schemas.openxmlformats.org/officeDocument/2006/relationships/image" Target="../media/image202.png"/><Relationship Id="rId20" Type="http://schemas.openxmlformats.org/officeDocument/2006/relationships/image" Target="../media/image157.emf"/><Relationship Id="rId41" Type="http://schemas.openxmlformats.org/officeDocument/2006/relationships/image" Target="../media/image178.emf"/><Relationship Id="rId54" Type="http://schemas.openxmlformats.org/officeDocument/2006/relationships/image" Target="../media/image190.jpeg"/><Relationship Id="rId62" Type="http://schemas.openxmlformats.org/officeDocument/2006/relationships/image" Target="../media/image198.jpeg"/><Relationship Id="rId70" Type="http://schemas.openxmlformats.org/officeDocument/2006/relationships/image" Target="../media/image205.png"/><Relationship Id="rId75" Type="http://schemas.openxmlformats.org/officeDocument/2006/relationships/image" Target="../media/image22.png"/><Relationship Id="rId1" Type="http://schemas.openxmlformats.org/officeDocument/2006/relationships/image" Target="../media/image138.emf"/><Relationship Id="rId6" Type="http://schemas.openxmlformats.org/officeDocument/2006/relationships/image" Target="../media/image143.emf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emf"/><Relationship Id="rId18" Type="http://schemas.openxmlformats.org/officeDocument/2006/relationships/image" Target="../media/image156.emf"/><Relationship Id="rId26" Type="http://schemas.openxmlformats.org/officeDocument/2006/relationships/image" Target="../media/image164.jpeg"/><Relationship Id="rId39" Type="http://schemas.openxmlformats.org/officeDocument/2006/relationships/image" Target="../media/image177.emf"/><Relationship Id="rId21" Type="http://schemas.openxmlformats.org/officeDocument/2006/relationships/image" Target="../media/image159.emf"/><Relationship Id="rId34" Type="http://schemas.openxmlformats.org/officeDocument/2006/relationships/image" Target="../media/image172.jpeg"/><Relationship Id="rId42" Type="http://schemas.openxmlformats.org/officeDocument/2006/relationships/image" Target="../media/image181.jpeg"/><Relationship Id="rId47" Type="http://schemas.openxmlformats.org/officeDocument/2006/relationships/image" Target="../media/image189.emf"/><Relationship Id="rId50" Type="http://schemas.openxmlformats.org/officeDocument/2006/relationships/image" Target="../media/image191.jpeg"/><Relationship Id="rId55" Type="http://schemas.openxmlformats.org/officeDocument/2006/relationships/image" Target="../media/image196.png"/><Relationship Id="rId63" Type="http://schemas.openxmlformats.org/officeDocument/2006/relationships/image" Target="../media/image209.jpeg"/><Relationship Id="rId68" Type="http://schemas.openxmlformats.org/officeDocument/2006/relationships/image" Target="../media/image79.png"/><Relationship Id="rId7" Type="http://schemas.openxmlformats.org/officeDocument/2006/relationships/image" Target="../media/image144.jpeg"/><Relationship Id="rId71" Type="http://schemas.openxmlformats.org/officeDocument/2006/relationships/image" Target="../media/image206.png"/><Relationship Id="rId2" Type="http://schemas.openxmlformats.org/officeDocument/2006/relationships/image" Target="../media/image139.emf"/><Relationship Id="rId16" Type="http://schemas.openxmlformats.org/officeDocument/2006/relationships/image" Target="../media/image154.emf"/><Relationship Id="rId29" Type="http://schemas.openxmlformats.org/officeDocument/2006/relationships/image" Target="../media/image167.emf"/><Relationship Id="rId1" Type="http://schemas.openxmlformats.org/officeDocument/2006/relationships/image" Target="../media/image138.emf"/><Relationship Id="rId6" Type="http://schemas.openxmlformats.org/officeDocument/2006/relationships/image" Target="../media/image143.emf"/><Relationship Id="rId11" Type="http://schemas.openxmlformats.org/officeDocument/2006/relationships/image" Target="../media/image148.emf"/><Relationship Id="rId24" Type="http://schemas.openxmlformats.org/officeDocument/2006/relationships/image" Target="../media/image162.jpeg"/><Relationship Id="rId32" Type="http://schemas.openxmlformats.org/officeDocument/2006/relationships/image" Target="../media/image170.emf"/><Relationship Id="rId37" Type="http://schemas.openxmlformats.org/officeDocument/2006/relationships/image" Target="../media/image175.jpeg"/><Relationship Id="rId40" Type="http://schemas.openxmlformats.org/officeDocument/2006/relationships/image" Target="../media/image178.emf"/><Relationship Id="rId45" Type="http://schemas.openxmlformats.org/officeDocument/2006/relationships/image" Target="../media/image187.emf"/><Relationship Id="rId53" Type="http://schemas.openxmlformats.org/officeDocument/2006/relationships/image" Target="../media/image194.png"/><Relationship Id="rId58" Type="http://schemas.openxmlformats.org/officeDocument/2006/relationships/image" Target="../media/image198.jpeg"/><Relationship Id="rId66" Type="http://schemas.openxmlformats.org/officeDocument/2006/relationships/image" Target="../media/image204.png"/><Relationship Id="rId5" Type="http://schemas.openxmlformats.org/officeDocument/2006/relationships/image" Target="../media/image142.emf"/><Relationship Id="rId15" Type="http://schemas.openxmlformats.org/officeDocument/2006/relationships/image" Target="../media/image153.emf"/><Relationship Id="rId23" Type="http://schemas.openxmlformats.org/officeDocument/2006/relationships/image" Target="../media/image161.jpeg"/><Relationship Id="rId28" Type="http://schemas.openxmlformats.org/officeDocument/2006/relationships/image" Target="../media/image166.emf"/><Relationship Id="rId36" Type="http://schemas.openxmlformats.org/officeDocument/2006/relationships/image" Target="../media/image174.emf"/><Relationship Id="rId49" Type="http://schemas.openxmlformats.org/officeDocument/2006/relationships/image" Target="../media/image190.jpeg"/><Relationship Id="rId57" Type="http://schemas.openxmlformats.org/officeDocument/2006/relationships/image" Target="../media/image199.jpeg"/><Relationship Id="rId61" Type="http://schemas.openxmlformats.org/officeDocument/2006/relationships/image" Target="../media/image184.emf"/><Relationship Id="rId10" Type="http://schemas.openxmlformats.org/officeDocument/2006/relationships/image" Target="../media/image147.emf"/><Relationship Id="rId19" Type="http://schemas.openxmlformats.org/officeDocument/2006/relationships/image" Target="../media/image157.emf"/><Relationship Id="rId31" Type="http://schemas.openxmlformats.org/officeDocument/2006/relationships/image" Target="../media/image169.emf"/><Relationship Id="rId44" Type="http://schemas.openxmlformats.org/officeDocument/2006/relationships/image" Target="../media/image186.emf"/><Relationship Id="rId52" Type="http://schemas.openxmlformats.org/officeDocument/2006/relationships/image" Target="../media/image193.png"/><Relationship Id="rId60" Type="http://schemas.openxmlformats.org/officeDocument/2006/relationships/image" Target="../media/image183.emf"/><Relationship Id="rId65" Type="http://schemas.openxmlformats.org/officeDocument/2006/relationships/image" Target="../media/image203.png"/><Relationship Id="rId4" Type="http://schemas.openxmlformats.org/officeDocument/2006/relationships/image" Target="../media/image141.emf"/><Relationship Id="rId9" Type="http://schemas.openxmlformats.org/officeDocument/2006/relationships/image" Target="../media/image146.emf"/><Relationship Id="rId14" Type="http://schemas.openxmlformats.org/officeDocument/2006/relationships/image" Target="../media/image152.emf"/><Relationship Id="rId22" Type="http://schemas.openxmlformats.org/officeDocument/2006/relationships/image" Target="../media/image160.emf"/><Relationship Id="rId27" Type="http://schemas.openxmlformats.org/officeDocument/2006/relationships/image" Target="../media/image165.emf"/><Relationship Id="rId30" Type="http://schemas.openxmlformats.org/officeDocument/2006/relationships/image" Target="../media/image168.emf"/><Relationship Id="rId35" Type="http://schemas.openxmlformats.org/officeDocument/2006/relationships/image" Target="../media/image173.emf"/><Relationship Id="rId43" Type="http://schemas.openxmlformats.org/officeDocument/2006/relationships/image" Target="../media/image185.emf"/><Relationship Id="rId48" Type="http://schemas.openxmlformats.org/officeDocument/2006/relationships/image" Target="../media/image31.jpeg"/><Relationship Id="rId56" Type="http://schemas.openxmlformats.org/officeDocument/2006/relationships/image" Target="../media/image197.png"/><Relationship Id="rId64" Type="http://schemas.openxmlformats.org/officeDocument/2006/relationships/image" Target="../media/image201.png"/><Relationship Id="rId69" Type="http://schemas.openxmlformats.org/officeDocument/2006/relationships/image" Target="../media/image80.png"/><Relationship Id="rId8" Type="http://schemas.openxmlformats.org/officeDocument/2006/relationships/image" Target="../media/image145.emf"/><Relationship Id="rId51" Type="http://schemas.openxmlformats.org/officeDocument/2006/relationships/image" Target="../media/image192.png"/><Relationship Id="rId72" Type="http://schemas.openxmlformats.org/officeDocument/2006/relationships/image" Target="../media/image22.png"/><Relationship Id="rId3" Type="http://schemas.openxmlformats.org/officeDocument/2006/relationships/image" Target="../media/image140.emf"/><Relationship Id="rId12" Type="http://schemas.openxmlformats.org/officeDocument/2006/relationships/image" Target="../media/image150.emf"/><Relationship Id="rId17" Type="http://schemas.openxmlformats.org/officeDocument/2006/relationships/image" Target="../media/image155.emf"/><Relationship Id="rId25" Type="http://schemas.openxmlformats.org/officeDocument/2006/relationships/image" Target="../media/image163.jpeg"/><Relationship Id="rId33" Type="http://schemas.openxmlformats.org/officeDocument/2006/relationships/image" Target="../media/image171.emf"/><Relationship Id="rId38" Type="http://schemas.openxmlformats.org/officeDocument/2006/relationships/image" Target="../media/image176.emf"/><Relationship Id="rId46" Type="http://schemas.openxmlformats.org/officeDocument/2006/relationships/image" Target="../media/image188.emf"/><Relationship Id="rId59" Type="http://schemas.openxmlformats.org/officeDocument/2006/relationships/image" Target="../media/image182.emf"/><Relationship Id="rId67" Type="http://schemas.openxmlformats.org/officeDocument/2006/relationships/image" Target="../media/image207.png"/><Relationship Id="rId20" Type="http://schemas.openxmlformats.org/officeDocument/2006/relationships/image" Target="../media/image158.emf"/><Relationship Id="rId41" Type="http://schemas.openxmlformats.org/officeDocument/2006/relationships/image" Target="../media/image180.emf"/><Relationship Id="rId54" Type="http://schemas.openxmlformats.org/officeDocument/2006/relationships/image" Target="../media/image195.jpeg"/><Relationship Id="rId62" Type="http://schemas.openxmlformats.org/officeDocument/2006/relationships/image" Target="../media/image208.png"/><Relationship Id="rId70" Type="http://schemas.openxmlformats.org/officeDocument/2006/relationships/image" Target="../media/image20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13" Type="http://schemas.openxmlformats.org/officeDocument/2006/relationships/image" Target="../media/image166.emf"/><Relationship Id="rId18" Type="http://schemas.openxmlformats.org/officeDocument/2006/relationships/image" Target="../media/image220.jpeg"/><Relationship Id="rId26" Type="http://schemas.openxmlformats.org/officeDocument/2006/relationships/image" Target="../media/image205.png"/><Relationship Id="rId3" Type="http://schemas.openxmlformats.org/officeDocument/2006/relationships/image" Target="../media/image212.jpeg"/><Relationship Id="rId21" Type="http://schemas.openxmlformats.org/officeDocument/2006/relationships/image" Target="../media/image223.png"/><Relationship Id="rId7" Type="http://schemas.openxmlformats.org/officeDocument/2006/relationships/image" Target="../media/image216.jpeg"/><Relationship Id="rId12" Type="http://schemas.openxmlformats.org/officeDocument/2006/relationships/image" Target="../media/image165.emf"/><Relationship Id="rId17" Type="http://schemas.openxmlformats.org/officeDocument/2006/relationships/image" Target="../media/image73.png"/><Relationship Id="rId25" Type="http://schemas.openxmlformats.org/officeDocument/2006/relationships/image" Target="../media/image196.png"/><Relationship Id="rId2" Type="http://schemas.openxmlformats.org/officeDocument/2006/relationships/image" Target="../media/image211.jpeg"/><Relationship Id="rId16" Type="http://schemas.openxmlformats.org/officeDocument/2006/relationships/image" Target="../media/image192.png"/><Relationship Id="rId20" Type="http://schemas.openxmlformats.org/officeDocument/2006/relationships/image" Target="../media/image222.png"/><Relationship Id="rId29" Type="http://schemas.openxmlformats.org/officeDocument/2006/relationships/image" Target="../media/image79.png"/><Relationship Id="rId1" Type="http://schemas.openxmlformats.org/officeDocument/2006/relationships/image" Target="../media/image210.jpeg"/><Relationship Id="rId6" Type="http://schemas.openxmlformats.org/officeDocument/2006/relationships/image" Target="../media/image215.jpeg"/><Relationship Id="rId11" Type="http://schemas.openxmlformats.org/officeDocument/2006/relationships/image" Target="../media/image164.jpeg"/><Relationship Id="rId24" Type="http://schemas.openxmlformats.org/officeDocument/2006/relationships/image" Target="../media/image189.emf"/><Relationship Id="rId5" Type="http://schemas.openxmlformats.org/officeDocument/2006/relationships/image" Target="../media/image214.jpeg"/><Relationship Id="rId15" Type="http://schemas.openxmlformats.org/officeDocument/2006/relationships/image" Target="../media/image219.emf"/><Relationship Id="rId23" Type="http://schemas.openxmlformats.org/officeDocument/2006/relationships/image" Target="../media/image184.emf"/><Relationship Id="rId28" Type="http://schemas.openxmlformats.org/officeDocument/2006/relationships/image" Target="../media/image207.png"/><Relationship Id="rId10" Type="http://schemas.openxmlformats.org/officeDocument/2006/relationships/image" Target="../media/image193.png"/><Relationship Id="rId19" Type="http://schemas.openxmlformats.org/officeDocument/2006/relationships/image" Target="../media/image221.png"/><Relationship Id="rId31" Type="http://schemas.openxmlformats.org/officeDocument/2006/relationships/image" Target="../media/image22.pn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167.emf"/><Relationship Id="rId22" Type="http://schemas.openxmlformats.org/officeDocument/2006/relationships/image" Target="../media/image182.emf"/><Relationship Id="rId27" Type="http://schemas.openxmlformats.org/officeDocument/2006/relationships/image" Target="../media/image206.png"/><Relationship Id="rId30" Type="http://schemas.openxmlformats.org/officeDocument/2006/relationships/image" Target="../media/image8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13" Type="http://schemas.openxmlformats.org/officeDocument/2006/relationships/image" Target="../media/image166.emf"/><Relationship Id="rId18" Type="http://schemas.openxmlformats.org/officeDocument/2006/relationships/image" Target="../media/image73.png"/><Relationship Id="rId26" Type="http://schemas.openxmlformats.org/officeDocument/2006/relationships/image" Target="../media/image205.png"/><Relationship Id="rId3" Type="http://schemas.openxmlformats.org/officeDocument/2006/relationships/image" Target="../media/image212.jpeg"/><Relationship Id="rId21" Type="http://schemas.openxmlformats.org/officeDocument/2006/relationships/image" Target="../media/image223.png"/><Relationship Id="rId7" Type="http://schemas.openxmlformats.org/officeDocument/2006/relationships/image" Target="../media/image216.jpeg"/><Relationship Id="rId12" Type="http://schemas.openxmlformats.org/officeDocument/2006/relationships/image" Target="../media/image165.emf"/><Relationship Id="rId17" Type="http://schemas.openxmlformats.org/officeDocument/2006/relationships/image" Target="../media/image220.jpeg"/><Relationship Id="rId25" Type="http://schemas.openxmlformats.org/officeDocument/2006/relationships/image" Target="../media/image196.png"/><Relationship Id="rId2" Type="http://schemas.openxmlformats.org/officeDocument/2006/relationships/image" Target="../media/image211.jpeg"/><Relationship Id="rId16" Type="http://schemas.openxmlformats.org/officeDocument/2006/relationships/image" Target="../media/image192.png"/><Relationship Id="rId20" Type="http://schemas.openxmlformats.org/officeDocument/2006/relationships/image" Target="../media/image222.png"/><Relationship Id="rId29" Type="http://schemas.openxmlformats.org/officeDocument/2006/relationships/image" Target="../media/image79.png"/><Relationship Id="rId1" Type="http://schemas.openxmlformats.org/officeDocument/2006/relationships/image" Target="../media/image210.jpeg"/><Relationship Id="rId6" Type="http://schemas.openxmlformats.org/officeDocument/2006/relationships/image" Target="../media/image215.jpeg"/><Relationship Id="rId11" Type="http://schemas.openxmlformats.org/officeDocument/2006/relationships/image" Target="../media/image164.jpeg"/><Relationship Id="rId24" Type="http://schemas.openxmlformats.org/officeDocument/2006/relationships/image" Target="../media/image189.emf"/><Relationship Id="rId5" Type="http://schemas.openxmlformats.org/officeDocument/2006/relationships/image" Target="../media/image214.jpeg"/><Relationship Id="rId15" Type="http://schemas.openxmlformats.org/officeDocument/2006/relationships/image" Target="../media/image219.emf"/><Relationship Id="rId23" Type="http://schemas.openxmlformats.org/officeDocument/2006/relationships/image" Target="../media/image184.emf"/><Relationship Id="rId28" Type="http://schemas.openxmlformats.org/officeDocument/2006/relationships/image" Target="../media/image207.png"/><Relationship Id="rId10" Type="http://schemas.openxmlformats.org/officeDocument/2006/relationships/image" Target="../media/image193.png"/><Relationship Id="rId19" Type="http://schemas.openxmlformats.org/officeDocument/2006/relationships/image" Target="../media/image221.png"/><Relationship Id="rId31" Type="http://schemas.openxmlformats.org/officeDocument/2006/relationships/image" Target="../media/image22.png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167.emf"/><Relationship Id="rId22" Type="http://schemas.openxmlformats.org/officeDocument/2006/relationships/image" Target="../media/image182.emf"/><Relationship Id="rId27" Type="http://schemas.openxmlformats.org/officeDocument/2006/relationships/image" Target="../media/image206.png"/><Relationship Id="rId30" Type="http://schemas.openxmlformats.org/officeDocument/2006/relationships/image" Target="../media/image8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26" Type="http://schemas.openxmlformats.org/officeDocument/2006/relationships/image" Target="../media/image49.jpeg"/><Relationship Id="rId39" Type="http://schemas.openxmlformats.org/officeDocument/2006/relationships/image" Target="../media/image62.jpeg"/><Relationship Id="rId21" Type="http://schemas.openxmlformats.org/officeDocument/2006/relationships/image" Target="../media/image44.jpeg"/><Relationship Id="rId34" Type="http://schemas.openxmlformats.org/officeDocument/2006/relationships/image" Target="../media/image57.jpeg"/><Relationship Id="rId42" Type="http://schemas.openxmlformats.org/officeDocument/2006/relationships/image" Target="../media/image65.jpeg"/><Relationship Id="rId47" Type="http://schemas.openxmlformats.org/officeDocument/2006/relationships/image" Target="../media/image70.jpeg"/><Relationship Id="rId50" Type="http://schemas.openxmlformats.org/officeDocument/2006/relationships/image" Target="../media/image73.png"/><Relationship Id="rId55" Type="http://schemas.openxmlformats.org/officeDocument/2006/relationships/image" Target="../media/image78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46" Type="http://schemas.openxmlformats.org/officeDocument/2006/relationships/image" Target="../media/image69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jpeg"/><Relationship Id="rId29" Type="http://schemas.openxmlformats.org/officeDocument/2006/relationships/image" Target="../media/image52.jpeg"/><Relationship Id="rId41" Type="http://schemas.openxmlformats.org/officeDocument/2006/relationships/image" Target="../media/image64.jpeg"/><Relationship Id="rId54" Type="http://schemas.openxmlformats.org/officeDocument/2006/relationships/image" Target="../media/image77.png"/><Relationship Id="rId1" Type="http://schemas.openxmlformats.org/officeDocument/2006/relationships/image" Target="../media/image24.jpeg"/><Relationship Id="rId6" Type="http://schemas.openxmlformats.org/officeDocument/2006/relationships/image" Target="../media/image29.emf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63.jpeg"/><Relationship Id="rId45" Type="http://schemas.openxmlformats.org/officeDocument/2006/relationships/image" Target="../media/image68.jpeg"/><Relationship Id="rId53" Type="http://schemas.openxmlformats.org/officeDocument/2006/relationships/image" Target="../media/image76.png"/><Relationship Id="rId58" Type="http://schemas.openxmlformats.org/officeDocument/2006/relationships/image" Target="../media/image22.pn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49" Type="http://schemas.openxmlformats.org/officeDocument/2006/relationships/image" Target="../media/image72.jpeg"/><Relationship Id="rId57" Type="http://schemas.openxmlformats.org/officeDocument/2006/relationships/image" Target="../media/image80.pn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31" Type="http://schemas.openxmlformats.org/officeDocument/2006/relationships/image" Target="../media/image54.jpeg"/><Relationship Id="rId44" Type="http://schemas.openxmlformats.org/officeDocument/2006/relationships/image" Target="../media/image67.jpeg"/><Relationship Id="rId52" Type="http://schemas.openxmlformats.org/officeDocument/2006/relationships/image" Target="../media/image75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6.jpeg"/><Relationship Id="rId48" Type="http://schemas.openxmlformats.org/officeDocument/2006/relationships/image" Target="../media/image71.jpeg"/><Relationship Id="rId56" Type="http://schemas.openxmlformats.org/officeDocument/2006/relationships/image" Target="../media/image79.png"/><Relationship Id="rId8" Type="http://schemas.openxmlformats.org/officeDocument/2006/relationships/image" Target="../media/image31.jpeg"/><Relationship Id="rId51" Type="http://schemas.openxmlformats.org/officeDocument/2006/relationships/image" Target="../media/image74.jpeg"/><Relationship Id="rId3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7.jpeg"/><Relationship Id="rId26" Type="http://schemas.openxmlformats.org/officeDocument/2006/relationships/image" Target="../media/image57.jpeg"/><Relationship Id="rId39" Type="http://schemas.openxmlformats.org/officeDocument/2006/relationships/image" Target="../media/image85.emf"/><Relationship Id="rId3" Type="http://schemas.openxmlformats.org/officeDocument/2006/relationships/image" Target="../media/image29.emf"/><Relationship Id="rId21" Type="http://schemas.openxmlformats.org/officeDocument/2006/relationships/image" Target="../media/image51.jpeg"/><Relationship Id="rId34" Type="http://schemas.openxmlformats.org/officeDocument/2006/relationships/image" Target="../media/image67.jpeg"/><Relationship Id="rId42" Type="http://schemas.openxmlformats.org/officeDocument/2006/relationships/image" Target="../media/image68.jpeg"/><Relationship Id="rId47" Type="http://schemas.openxmlformats.org/officeDocument/2006/relationships/image" Target="../media/image73.png"/><Relationship Id="rId50" Type="http://schemas.openxmlformats.org/officeDocument/2006/relationships/image" Target="../media/image75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6.jpeg"/><Relationship Id="rId25" Type="http://schemas.openxmlformats.org/officeDocument/2006/relationships/image" Target="../media/image56.jpeg"/><Relationship Id="rId33" Type="http://schemas.openxmlformats.org/officeDocument/2006/relationships/image" Target="../media/image66.jpeg"/><Relationship Id="rId38" Type="http://schemas.openxmlformats.org/officeDocument/2006/relationships/image" Target="../media/image84.emf"/><Relationship Id="rId46" Type="http://schemas.openxmlformats.org/officeDocument/2006/relationships/image" Target="../media/image72.jpe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0.jpeg"/><Relationship Id="rId29" Type="http://schemas.openxmlformats.org/officeDocument/2006/relationships/image" Target="../media/image60.jpeg"/><Relationship Id="rId41" Type="http://schemas.openxmlformats.org/officeDocument/2006/relationships/image" Target="../media/image43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5.jpeg"/><Relationship Id="rId32" Type="http://schemas.openxmlformats.org/officeDocument/2006/relationships/image" Target="../media/image63.jpeg"/><Relationship Id="rId37" Type="http://schemas.openxmlformats.org/officeDocument/2006/relationships/image" Target="../media/image83.jpeg"/><Relationship Id="rId40" Type="http://schemas.openxmlformats.org/officeDocument/2006/relationships/image" Target="../media/image25.jpeg"/><Relationship Id="rId45" Type="http://schemas.openxmlformats.org/officeDocument/2006/relationships/image" Target="../media/image71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3.jpeg"/><Relationship Id="rId28" Type="http://schemas.openxmlformats.org/officeDocument/2006/relationships/image" Target="../media/image59.jpeg"/><Relationship Id="rId36" Type="http://schemas.openxmlformats.org/officeDocument/2006/relationships/image" Target="../media/image82.jpeg"/><Relationship Id="rId49" Type="http://schemas.openxmlformats.org/officeDocument/2006/relationships/image" Target="../media/image40.jpeg"/><Relationship Id="rId10" Type="http://schemas.openxmlformats.org/officeDocument/2006/relationships/image" Target="../media/image36.jpeg"/><Relationship Id="rId19" Type="http://schemas.openxmlformats.org/officeDocument/2006/relationships/image" Target="../media/image49.jpeg"/><Relationship Id="rId31" Type="http://schemas.openxmlformats.org/officeDocument/2006/relationships/image" Target="../media/image62.jpeg"/><Relationship Id="rId44" Type="http://schemas.openxmlformats.org/officeDocument/2006/relationships/image" Target="../media/image69.jpeg"/><Relationship Id="rId52" Type="http://schemas.openxmlformats.org/officeDocument/2006/relationships/image" Target="../media/image80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2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81.jpeg"/><Relationship Id="rId43" Type="http://schemas.openxmlformats.org/officeDocument/2006/relationships/image" Target="../media/image65.jpeg"/><Relationship Id="rId48" Type="http://schemas.openxmlformats.org/officeDocument/2006/relationships/image" Target="../media/image86.jpeg"/><Relationship Id="rId8" Type="http://schemas.openxmlformats.org/officeDocument/2006/relationships/image" Target="../media/image34.jpeg"/><Relationship Id="rId51" Type="http://schemas.openxmlformats.org/officeDocument/2006/relationships/image" Target="../media/image79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7.jpeg"/><Relationship Id="rId26" Type="http://schemas.openxmlformats.org/officeDocument/2006/relationships/image" Target="../media/image57.jpeg"/><Relationship Id="rId39" Type="http://schemas.openxmlformats.org/officeDocument/2006/relationships/image" Target="../media/image43.jpeg"/><Relationship Id="rId3" Type="http://schemas.openxmlformats.org/officeDocument/2006/relationships/image" Target="../media/image29.emf"/><Relationship Id="rId21" Type="http://schemas.openxmlformats.org/officeDocument/2006/relationships/image" Target="../media/image51.jpeg"/><Relationship Id="rId34" Type="http://schemas.openxmlformats.org/officeDocument/2006/relationships/image" Target="../media/image67.jpeg"/><Relationship Id="rId42" Type="http://schemas.openxmlformats.org/officeDocument/2006/relationships/image" Target="../media/image69.jpeg"/><Relationship Id="rId47" Type="http://schemas.openxmlformats.org/officeDocument/2006/relationships/image" Target="../media/image73.png"/><Relationship Id="rId50" Type="http://schemas.openxmlformats.org/officeDocument/2006/relationships/image" Target="../media/image80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6.jpeg"/><Relationship Id="rId25" Type="http://schemas.openxmlformats.org/officeDocument/2006/relationships/image" Target="../media/image56.jpeg"/><Relationship Id="rId33" Type="http://schemas.openxmlformats.org/officeDocument/2006/relationships/image" Target="../media/image66.jpeg"/><Relationship Id="rId38" Type="http://schemas.openxmlformats.org/officeDocument/2006/relationships/image" Target="../media/image25.jpeg"/><Relationship Id="rId46" Type="http://schemas.openxmlformats.org/officeDocument/2006/relationships/image" Target="../media/image89.pn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0.jpeg"/><Relationship Id="rId29" Type="http://schemas.openxmlformats.org/officeDocument/2006/relationships/image" Target="../media/image60.jpeg"/><Relationship Id="rId41" Type="http://schemas.openxmlformats.org/officeDocument/2006/relationships/image" Target="../media/image65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5.jpeg"/><Relationship Id="rId32" Type="http://schemas.openxmlformats.org/officeDocument/2006/relationships/image" Target="../media/image63.jpeg"/><Relationship Id="rId37" Type="http://schemas.openxmlformats.org/officeDocument/2006/relationships/image" Target="../media/image87.jpeg"/><Relationship Id="rId40" Type="http://schemas.openxmlformats.org/officeDocument/2006/relationships/image" Target="../media/image68.jpeg"/><Relationship Id="rId45" Type="http://schemas.openxmlformats.org/officeDocument/2006/relationships/image" Target="../media/image72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3.jpeg"/><Relationship Id="rId28" Type="http://schemas.openxmlformats.org/officeDocument/2006/relationships/image" Target="../media/image59.jpeg"/><Relationship Id="rId36" Type="http://schemas.openxmlformats.org/officeDocument/2006/relationships/image" Target="../media/image82.jpeg"/><Relationship Id="rId49" Type="http://schemas.openxmlformats.org/officeDocument/2006/relationships/image" Target="../media/image79.png"/><Relationship Id="rId10" Type="http://schemas.openxmlformats.org/officeDocument/2006/relationships/image" Target="../media/image36.jpeg"/><Relationship Id="rId19" Type="http://schemas.openxmlformats.org/officeDocument/2006/relationships/image" Target="../media/image49.jpeg"/><Relationship Id="rId31" Type="http://schemas.openxmlformats.org/officeDocument/2006/relationships/image" Target="../media/image62.jpeg"/><Relationship Id="rId44" Type="http://schemas.openxmlformats.org/officeDocument/2006/relationships/image" Target="../media/image71.jpeg"/><Relationship Id="rId52" Type="http://schemas.openxmlformats.org/officeDocument/2006/relationships/image" Target="../media/image40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2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81.jpeg"/><Relationship Id="rId43" Type="http://schemas.openxmlformats.org/officeDocument/2006/relationships/image" Target="../media/image88.jpeg"/><Relationship Id="rId48" Type="http://schemas.openxmlformats.org/officeDocument/2006/relationships/image" Target="../media/image90.jpeg"/><Relationship Id="rId8" Type="http://schemas.openxmlformats.org/officeDocument/2006/relationships/image" Target="../media/image34.jpeg"/><Relationship Id="rId51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49.jpeg"/><Relationship Id="rId26" Type="http://schemas.openxmlformats.org/officeDocument/2006/relationships/image" Target="../media/image58.jpeg"/><Relationship Id="rId39" Type="http://schemas.openxmlformats.org/officeDocument/2006/relationships/image" Target="../media/image46.jpeg"/><Relationship Id="rId3" Type="http://schemas.openxmlformats.org/officeDocument/2006/relationships/image" Target="../media/image29.emf"/><Relationship Id="rId21" Type="http://schemas.openxmlformats.org/officeDocument/2006/relationships/image" Target="../media/image52.jpeg"/><Relationship Id="rId34" Type="http://schemas.openxmlformats.org/officeDocument/2006/relationships/image" Target="../media/image81.jpeg"/><Relationship Id="rId42" Type="http://schemas.openxmlformats.org/officeDocument/2006/relationships/image" Target="../media/image71.jpeg"/><Relationship Id="rId47" Type="http://schemas.openxmlformats.org/officeDocument/2006/relationships/image" Target="../media/image80.png"/><Relationship Id="rId50" Type="http://schemas.openxmlformats.org/officeDocument/2006/relationships/image" Target="../media/image78.pn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7.jpeg"/><Relationship Id="rId25" Type="http://schemas.openxmlformats.org/officeDocument/2006/relationships/image" Target="../media/image57.jpeg"/><Relationship Id="rId33" Type="http://schemas.openxmlformats.org/officeDocument/2006/relationships/image" Target="../media/image92.jpeg"/><Relationship Id="rId38" Type="http://schemas.openxmlformats.org/officeDocument/2006/relationships/image" Target="../media/image68.jpeg"/><Relationship Id="rId46" Type="http://schemas.openxmlformats.org/officeDocument/2006/relationships/image" Target="../media/image79.png"/><Relationship Id="rId2" Type="http://schemas.openxmlformats.org/officeDocument/2006/relationships/image" Target="../media/image28.jpeg"/><Relationship Id="rId16" Type="http://schemas.openxmlformats.org/officeDocument/2006/relationships/image" Target="../media/image45.jpeg"/><Relationship Id="rId20" Type="http://schemas.openxmlformats.org/officeDocument/2006/relationships/image" Target="../media/image51.jpeg"/><Relationship Id="rId29" Type="http://schemas.openxmlformats.org/officeDocument/2006/relationships/image" Target="../media/image61.jpeg"/><Relationship Id="rId41" Type="http://schemas.openxmlformats.org/officeDocument/2006/relationships/image" Target="../media/image69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6.jpeg"/><Relationship Id="rId32" Type="http://schemas.openxmlformats.org/officeDocument/2006/relationships/image" Target="../media/image66.jpeg"/><Relationship Id="rId37" Type="http://schemas.openxmlformats.org/officeDocument/2006/relationships/image" Target="../media/image43.jpeg"/><Relationship Id="rId40" Type="http://schemas.openxmlformats.org/officeDocument/2006/relationships/image" Target="../media/image65.jpeg"/><Relationship Id="rId45" Type="http://schemas.openxmlformats.org/officeDocument/2006/relationships/image" Target="../media/image94.jpeg"/><Relationship Id="rId5" Type="http://schemas.openxmlformats.org/officeDocument/2006/relationships/image" Target="../media/image31.jpeg"/><Relationship Id="rId15" Type="http://schemas.openxmlformats.org/officeDocument/2006/relationships/image" Target="../media/image44.jpeg"/><Relationship Id="rId23" Type="http://schemas.openxmlformats.org/officeDocument/2006/relationships/image" Target="../media/image55.jpeg"/><Relationship Id="rId28" Type="http://schemas.openxmlformats.org/officeDocument/2006/relationships/image" Target="../media/image60.jpeg"/><Relationship Id="rId36" Type="http://schemas.openxmlformats.org/officeDocument/2006/relationships/image" Target="../media/image82.jpeg"/><Relationship Id="rId49" Type="http://schemas.openxmlformats.org/officeDocument/2006/relationships/image" Target="../media/image40.jpeg"/><Relationship Id="rId10" Type="http://schemas.openxmlformats.org/officeDocument/2006/relationships/image" Target="../media/image36.jpeg"/><Relationship Id="rId19" Type="http://schemas.openxmlformats.org/officeDocument/2006/relationships/image" Target="../media/image50.jpeg"/><Relationship Id="rId31" Type="http://schemas.openxmlformats.org/officeDocument/2006/relationships/image" Target="../media/image63.jpeg"/><Relationship Id="rId44" Type="http://schemas.openxmlformats.org/officeDocument/2006/relationships/image" Target="../media/image73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2.jpeg"/><Relationship Id="rId22" Type="http://schemas.openxmlformats.org/officeDocument/2006/relationships/image" Target="../media/image53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Relationship Id="rId35" Type="http://schemas.openxmlformats.org/officeDocument/2006/relationships/image" Target="../media/image93.jpeg"/><Relationship Id="rId43" Type="http://schemas.openxmlformats.org/officeDocument/2006/relationships/image" Target="../media/image72.jpeg"/><Relationship Id="rId48" Type="http://schemas.openxmlformats.org/officeDocument/2006/relationships/image" Target="../media/image75.png"/><Relationship Id="rId8" Type="http://schemas.openxmlformats.org/officeDocument/2006/relationships/image" Target="../media/image34.jpeg"/><Relationship Id="rId5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42.jpeg"/><Relationship Id="rId3" Type="http://schemas.openxmlformats.org/officeDocument/2006/relationships/image" Target="../media/image29.emf"/><Relationship Id="rId21" Type="http://schemas.openxmlformats.org/officeDocument/2006/relationships/image" Target="../media/image55.jpeg"/><Relationship Id="rId34" Type="http://schemas.openxmlformats.org/officeDocument/2006/relationships/image" Target="../media/image96.jpeg"/><Relationship Id="rId42" Type="http://schemas.openxmlformats.org/officeDocument/2006/relationships/image" Target="../media/image46.jpeg"/><Relationship Id="rId47" Type="http://schemas.openxmlformats.org/officeDocument/2006/relationships/image" Target="../media/image100.png"/><Relationship Id="rId50" Type="http://schemas.openxmlformats.org/officeDocument/2006/relationships/image" Target="../media/image80.pn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95.jpeg"/><Relationship Id="rId38" Type="http://schemas.openxmlformats.org/officeDocument/2006/relationships/image" Target="../media/image38.jpeg"/><Relationship Id="rId46" Type="http://schemas.openxmlformats.org/officeDocument/2006/relationships/image" Target="../media/image72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68.jpeg"/><Relationship Id="rId54" Type="http://schemas.openxmlformats.org/officeDocument/2006/relationships/image" Target="../media/image22.pn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99.jpeg"/><Relationship Id="rId40" Type="http://schemas.openxmlformats.org/officeDocument/2006/relationships/image" Target="../media/image43.jpeg"/><Relationship Id="rId45" Type="http://schemas.openxmlformats.org/officeDocument/2006/relationships/image" Target="../media/image71.jpeg"/><Relationship Id="rId53" Type="http://schemas.openxmlformats.org/officeDocument/2006/relationships/image" Target="../media/image78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98.jpeg"/><Relationship Id="rId49" Type="http://schemas.openxmlformats.org/officeDocument/2006/relationships/image" Target="../media/image79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69.jpeg"/><Relationship Id="rId52" Type="http://schemas.openxmlformats.org/officeDocument/2006/relationships/image" Target="../media/image40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97.jpeg"/><Relationship Id="rId43" Type="http://schemas.openxmlformats.org/officeDocument/2006/relationships/image" Target="../media/image65.jpeg"/><Relationship Id="rId48" Type="http://schemas.openxmlformats.org/officeDocument/2006/relationships/image" Target="../media/image101.jpeg"/><Relationship Id="rId8" Type="http://schemas.openxmlformats.org/officeDocument/2006/relationships/image" Target="../media/image34.jpeg"/><Relationship Id="rId51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38.jpeg"/><Relationship Id="rId21" Type="http://schemas.openxmlformats.org/officeDocument/2006/relationships/image" Target="../media/image55.jpeg"/><Relationship Id="rId34" Type="http://schemas.openxmlformats.org/officeDocument/2006/relationships/image" Target="../media/image96.jpeg"/><Relationship Id="rId42" Type="http://schemas.openxmlformats.org/officeDocument/2006/relationships/image" Target="../media/image68.jpeg"/><Relationship Id="rId47" Type="http://schemas.openxmlformats.org/officeDocument/2006/relationships/image" Target="../media/image103.jpeg"/><Relationship Id="rId50" Type="http://schemas.openxmlformats.org/officeDocument/2006/relationships/image" Target="../media/image104.jpeg"/><Relationship Id="rId55" Type="http://schemas.openxmlformats.org/officeDocument/2006/relationships/image" Target="../media/image78.pn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95.jpeg"/><Relationship Id="rId38" Type="http://schemas.openxmlformats.org/officeDocument/2006/relationships/image" Target="../media/image102.jpeg"/><Relationship Id="rId46" Type="http://schemas.openxmlformats.org/officeDocument/2006/relationships/image" Target="../media/image71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43.jpeg"/><Relationship Id="rId54" Type="http://schemas.openxmlformats.org/officeDocument/2006/relationships/image" Target="../media/image40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99.jpeg"/><Relationship Id="rId40" Type="http://schemas.openxmlformats.org/officeDocument/2006/relationships/image" Target="../media/image42.jpeg"/><Relationship Id="rId45" Type="http://schemas.openxmlformats.org/officeDocument/2006/relationships/image" Target="../media/image69.jpeg"/><Relationship Id="rId53" Type="http://schemas.openxmlformats.org/officeDocument/2006/relationships/image" Target="../media/image75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98.jpeg"/><Relationship Id="rId49" Type="http://schemas.openxmlformats.org/officeDocument/2006/relationships/image" Target="../media/image100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65.jpeg"/><Relationship Id="rId52" Type="http://schemas.openxmlformats.org/officeDocument/2006/relationships/image" Target="../media/image80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97.jpeg"/><Relationship Id="rId43" Type="http://schemas.openxmlformats.org/officeDocument/2006/relationships/image" Target="../media/image46.jpeg"/><Relationship Id="rId48" Type="http://schemas.openxmlformats.org/officeDocument/2006/relationships/image" Target="../media/image72.jpeg"/><Relationship Id="rId56" Type="http://schemas.openxmlformats.org/officeDocument/2006/relationships/image" Target="../media/image22.png"/><Relationship Id="rId8" Type="http://schemas.openxmlformats.org/officeDocument/2006/relationships/image" Target="../media/image34.jpeg"/><Relationship Id="rId51" Type="http://schemas.openxmlformats.org/officeDocument/2006/relationships/image" Target="../media/image79.png"/><Relationship Id="rId3" Type="http://schemas.openxmlformats.org/officeDocument/2006/relationships/image" Target="../media/image29.e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51.jpeg"/><Relationship Id="rId26" Type="http://schemas.openxmlformats.org/officeDocument/2006/relationships/image" Target="../media/image60.jpeg"/><Relationship Id="rId39" Type="http://schemas.openxmlformats.org/officeDocument/2006/relationships/image" Target="../media/image68.jpeg"/><Relationship Id="rId3" Type="http://schemas.openxmlformats.org/officeDocument/2006/relationships/image" Target="../media/image29.emf"/><Relationship Id="rId21" Type="http://schemas.openxmlformats.org/officeDocument/2006/relationships/image" Target="../media/image55.jpeg"/><Relationship Id="rId34" Type="http://schemas.openxmlformats.org/officeDocument/2006/relationships/image" Target="../media/image105.jpeg"/><Relationship Id="rId42" Type="http://schemas.openxmlformats.org/officeDocument/2006/relationships/image" Target="../media/image69.jpeg"/><Relationship Id="rId47" Type="http://schemas.openxmlformats.org/officeDocument/2006/relationships/image" Target="../media/image79.png"/><Relationship Id="rId50" Type="http://schemas.openxmlformats.org/officeDocument/2006/relationships/image" Target="../media/image40.jpeg"/><Relationship Id="rId7" Type="http://schemas.openxmlformats.org/officeDocument/2006/relationships/image" Target="../media/image33.jpeg"/><Relationship Id="rId12" Type="http://schemas.openxmlformats.org/officeDocument/2006/relationships/image" Target="../media/image41.jpeg"/><Relationship Id="rId17" Type="http://schemas.openxmlformats.org/officeDocument/2006/relationships/image" Target="../media/image50.jpeg"/><Relationship Id="rId25" Type="http://schemas.openxmlformats.org/officeDocument/2006/relationships/image" Target="../media/image59.jpeg"/><Relationship Id="rId33" Type="http://schemas.openxmlformats.org/officeDocument/2006/relationships/image" Target="../media/image82.jpeg"/><Relationship Id="rId38" Type="http://schemas.openxmlformats.org/officeDocument/2006/relationships/image" Target="../media/image43.jpeg"/><Relationship Id="rId46" Type="http://schemas.openxmlformats.org/officeDocument/2006/relationships/image" Target="../media/image107.jpeg"/><Relationship Id="rId2" Type="http://schemas.openxmlformats.org/officeDocument/2006/relationships/image" Target="../media/image28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3.jpeg"/><Relationship Id="rId41" Type="http://schemas.openxmlformats.org/officeDocument/2006/relationships/image" Target="../media/image65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8.jpeg"/><Relationship Id="rId32" Type="http://schemas.openxmlformats.org/officeDocument/2006/relationships/image" Target="../media/image81.jpeg"/><Relationship Id="rId37" Type="http://schemas.openxmlformats.org/officeDocument/2006/relationships/image" Target="../media/image42.jpeg"/><Relationship Id="rId40" Type="http://schemas.openxmlformats.org/officeDocument/2006/relationships/image" Target="../media/image46.jpeg"/><Relationship Id="rId45" Type="http://schemas.openxmlformats.org/officeDocument/2006/relationships/image" Target="../media/image100.png"/><Relationship Id="rId5" Type="http://schemas.openxmlformats.org/officeDocument/2006/relationships/image" Target="../media/image31.jpeg"/><Relationship Id="rId15" Type="http://schemas.openxmlformats.org/officeDocument/2006/relationships/image" Target="../media/image47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38.jpeg"/><Relationship Id="rId49" Type="http://schemas.openxmlformats.org/officeDocument/2006/relationships/image" Target="../media/image75.png"/><Relationship Id="rId10" Type="http://schemas.openxmlformats.org/officeDocument/2006/relationships/image" Target="../media/image36.jpeg"/><Relationship Id="rId19" Type="http://schemas.openxmlformats.org/officeDocument/2006/relationships/image" Target="../media/image52.jpeg"/><Relationship Id="rId31" Type="http://schemas.openxmlformats.org/officeDocument/2006/relationships/image" Target="../media/image67.jpeg"/><Relationship Id="rId44" Type="http://schemas.openxmlformats.org/officeDocument/2006/relationships/image" Target="../media/image72.jpeg"/><Relationship Id="rId52" Type="http://schemas.openxmlformats.org/officeDocument/2006/relationships/image" Target="../media/image22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5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6.jpeg"/><Relationship Id="rId35" Type="http://schemas.openxmlformats.org/officeDocument/2006/relationships/image" Target="../media/image106.jpeg"/><Relationship Id="rId43" Type="http://schemas.openxmlformats.org/officeDocument/2006/relationships/image" Target="../media/image71.jpeg"/><Relationship Id="rId48" Type="http://schemas.openxmlformats.org/officeDocument/2006/relationships/image" Target="../media/image80.png"/><Relationship Id="rId8" Type="http://schemas.openxmlformats.org/officeDocument/2006/relationships/image" Target="../media/image34.jpeg"/><Relationship Id="rId51" Type="http://schemas.openxmlformats.org/officeDocument/2006/relationships/image" Target="../media/image7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26" Type="http://schemas.openxmlformats.org/officeDocument/2006/relationships/image" Target="../media/image130.jpeg"/><Relationship Id="rId3" Type="http://schemas.openxmlformats.org/officeDocument/2006/relationships/image" Target="../media/image110.jpeg"/><Relationship Id="rId21" Type="http://schemas.openxmlformats.org/officeDocument/2006/relationships/image" Target="../media/image46.jpeg"/><Relationship Id="rId34" Type="http://schemas.openxmlformats.org/officeDocument/2006/relationships/image" Target="../media/image80.pn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00.png"/><Relationship Id="rId33" Type="http://schemas.openxmlformats.org/officeDocument/2006/relationships/image" Target="../media/image79.pn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0" Type="http://schemas.openxmlformats.org/officeDocument/2006/relationships/image" Target="../media/image127.jpeg"/><Relationship Id="rId29" Type="http://schemas.openxmlformats.org/officeDocument/2006/relationships/image" Target="../media/image78.pn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29.png"/><Relationship Id="rId32" Type="http://schemas.openxmlformats.org/officeDocument/2006/relationships/image" Target="../media/image135.png"/><Relationship Id="rId5" Type="http://schemas.openxmlformats.org/officeDocument/2006/relationships/image" Target="../media/image112.jpeg"/><Relationship Id="rId15" Type="http://schemas.openxmlformats.org/officeDocument/2006/relationships/image" Target="../media/image122.jpeg"/><Relationship Id="rId23" Type="http://schemas.openxmlformats.org/officeDocument/2006/relationships/image" Target="../media/image128.jpeg"/><Relationship Id="rId28" Type="http://schemas.openxmlformats.org/officeDocument/2006/relationships/image" Target="../media/image132.png"/><Relationship Id="rId10" Type="http://schemas.openxmlformats.org/officeDocument/2006/relationships/image" Target="../media/image117.jpeg"/><Relationship Id="rId19" Type="http://schemas.openxmlformats.org/officeDocument/2006/relationships/image" Target="../media/image126.jpeg"/><Relationship Id="rId31" Type="http://schemas.openxmlformats.org/officeDocument/2006/relationships/image" Target="../media/image134.pn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jpeg"/><Relationship Id="rId22" Type="http://schemas.openxmlformats.org/officeDocument/2006/relationships/image" Target="../media/image61.jpeg"/><Relationship Id="rId27" Type="http://schemas.openxmlformats.org/officeDocument/2006/relationships/image" Target="../media/image131.png"/><Relationship Id="rId30" Type="http://schemas.openxmlformats.org/officeDocument/2006/relationships/image" Target="../media/image133.png"/><Relationship Id="rId35" Type="http://schemas.openxmlformats.org/officeDocument/2006/relationships/image" Target="../media/image2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7.emf"/><Relationship Id="rId1" Type="http://schemas.openxmlformats.org/officeDocument/2006/relationships/image" Target="../media/image13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7.emf"/><Relationship Id="rId1" Type="http://schemas.openxmlformats.org/officeDocument/2006/relationships/image" Target="../media/image136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346115</xdr:colOff>
      <xdr:row>10</xdr:row>
      <xdr:rowOff>27749</xdr:rowOff>
    </xdr:from>
    <xdr:ext cx="214420" cy="142583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094674"/>
          <a:ext cx="214420" cy="1425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10</xdr:row>
          <xdr:rowOff>30480</xdr:rowOff>
        </xdr:from>
        <xdr:to>
          <xdr:col>6</xdr:col>
          <xdr:colOff>609600</xdr:colOff>
          <xdr:row>10</xdr:row>
          <xdr:rowOff>182880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716280</xdr:colOff>
          <xdr:row>11</xdr:row>
          <xdr:rowOff>30480</xdr:rowOff>
        </xdr:from>
        <xdr:to>
          <xdr:col>6</xdr:col>
          <xdr:colOff>754380</xdr:colOff>
          <xdr:row>11</xdr:row>
          <xdr:rowOff>182880</xdr:rowOff>
        </xdr:to>
        <xdr:sp macro="" textlink="">
          <xdr:nvSpPr>
            <xdr:cNvPr id="2059" name="Option 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344978</xdr:colOff>
      <xdr:row>2</xdr:row>
      <xdr:rowOff>28323</xdr:rowOff>
    </xdr:from>
    <xdr:to>
      <xdr:col>5</xdr:col>
      <xdr:colOff>46846</xdr:colOff>
      <xdr:row>2</xdr:row>
      <xdr:rowOff>158436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678" y="571248"/>
          <a:ext cx="216218" cy="130113"/>
        </a:xfrm>
        <a:prstGeom prst="rect">
          <a:avLst/>
        </a:prstGeom>
      </xdr:spPr>
    </xdr:pic>
    <xdr:clientData/>
  </xdr:twoCellAnchor>
  <xdr:twoCellAnchor editAs="oneCell">
    <xdr:from>
      <xdr:col>4</xdr:col>
      <xdr:colOff>345196</xdr:colOff>
      <xdr:row>3</xdr:row>
      <xdr:rowOff>26809</xdr:rowOff>
    </xdr:from>
    <xdr:to>
      <xdr:col>5</xdr:col>
      <xdr:colOff>46846</xdr:colOff>
      <xdr:row>3</xdr:row>
      <xdr:rowOff>170809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96" y="760931"/>
          <a:ext cx="216000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4</xdr:row>
      <xdr:rowOff>31457</xdr:rowOff>
    </xdr:from>
    <xdr:to>
      <xdr:col>5</xdr:col>
      <xdr:colOff>46846</xdr:colOff>
      <xdr:row>4</xdr:row>
      <xdr:rowOff>175285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9553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5</xdr:row>
      <xdr:rowOff>31457</xdr:rowOff>
    </xdr:from>
    <xdr:to>
      <xdr:col>5</xdr:col>
      <xdr:colOff>46846</xdr:colOff>
      <xdr:row>5</xdr:row>
      <xdr:rowOff>175285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1458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6</xdr:row>
      <xdr:rowOff>31615</xdr:rowOff>
    </xdr:from>
    <xdr:to>
      <xdr:col>5</xdr:col>
      <xdr:colOff>46846</xdr:colOff>
      <xdr:row>6</xdr:row>
      <xdr:rowOff>175126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336540"/>
          <a:ext cx="215742" cy="143511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7</xdr:row>
      <xdr:rowOff>26617</xdr:rowOff>
    </xdr:from>
    <xdr:to>
      <xdr:col>5</xdr:col>
      <xdr:colOff>46846</xdr:colOff>
      <xdr:row>7</xdr:row>
      <xdr:rowOff>170617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522739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8</xdr:row>
      <xdr:rowOff>26520</xdr:rowOff>
    </xdr:from>
    <xdr:to>
      <xdr:col>5</xdr:col>
      <xdr:colOff>46846</xdr:colOff>
      <xdr:row>8</xdr:row>
      <xdr:rowOff>170520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713142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346115</xdr:colOff>
      <xdr:row>9</xdr:row>
      <xdr:rowOff>27285</xdr:rowOff>
    </xdr:from>
    <xdr:to>
      <xdr:col>5</xdr:col>
      <xdr:colOff>46185</xdr:colOff>
      <xdr:row>9</xdr:row>
      <xdr:rowOff>170796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603" y="1904407"/>
          <a:ext cx="215814" cy="1435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</xdr:row>
          <xdr:rowOff>30480</xdr:rowOff>
        </xdr:from>
        <xdr:to>
          <xdr:col>6</xdr:col>
          <xdr:colOff>609600</xdr:colOff>
          <xdr:row>2</xdr:row>
          <xdr:rowOff>182880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3</xdr:row>
          <xdr:rowOff>30480</xdr:rowOff>
        </xdr:from>
        <xdr:to>
          <xdr:col>6</xdr:col>
          <xdr:colOff>609600</xdr:colOff>
          <xdr:row>3</xdr:row>
          <xdr:rowOff>182880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4</xdr:row>
          <xdr:rowOff>30480</xdr:rowOff>
        </xdr:from>
        <xdr:to>
          <xdr:col>6</xdr:col>
          <xdr:colOff>754380</xdr:colOff>
          <xdr:row>4</xdr:row>
          <xdr:rowOff>182880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5</xdr:row>
          <xdr:rowOff>30480</xdr:rowOff>
        </xdr:from>
        <xdr:to>
          <xdr:col>6</xdr:col>
          <xdr:colOff>609600</xdr:colOff>
          <xdr:row>5</xdr:row>
          <xdr:rowOff>182880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716280</xdr:colOff>
          <xdr:row>6</xdr:row>
          <xdr:rowOff>30480</xdr:rowOff>
        </xdr:from>
        <xdr:to>
          <xdr:col>6</xdr:col>
          <xdr:colOff>754380</xdr:colOff>
          <xdr:row>6</xdr:row>
          <xdr:rowOff>182880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7</xdr:row>
          <xdr:rowOff>30480</xdr:rowOff>
        </xdr:from>
        <xdr:to>
          <xdr:col>6</xdr:col>
          <xdr:colOff>609600</xdr:colOff>
          <xdr:row>7</xdr:row>
          <xdr:rowOff>182880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8</xdr:row>
          <xdr:rowOff>30480</xdr:rowOff>
        </xdr:from>
        <xdr:to>
          <xdr:col>6</xdr:col>
          <xdr:colOff>609600</xdr:colOff>
          <xdr:row>8</xdr:row>
          <xdr:rowOff>182880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9</xdr:row>
          <xdr:rowOff>30480</xdr:rowOff>
        </xdr:from>
        <xdr:to>
          <xdr:col>6</xdr:col>
          <xdr:colOff>609600</xdr:colOff>
          <xdr:row>9</xdr:row>
          <xdr:rowOff>182880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513521</xdr:colOff>
      <xdr:row>17</xdr:row>
      <xdr:rowOff>0</xdr:rowOff>
    </xdr:from>
    <xdr:to>
      <xdr:col>12</xdr:col>
      <xdr:colOff>195146</xdr:colOff>
      <xdr:row>18</xdr:row>
      <xdr:rowOff>57978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28261"/>
        <a:stretch/>
      </xdr:blipFill>
      <xdr:spPr>
        <a:xfrm>
          <a:off x="761999" y="2070652"/>
          <a:ext cx="5135218" cy="248478"/>
        </a:xfrm>
        <a:prstGeom prst="rect">
          <a:avLst/>
        </a:prstGeom>
      </xdr:spPr>
    </xdr:pic>
    <xdr:clientData/>
  </xdr:twoCellAnchor>
  <xdr:twoCellAnchor editAs="oneCell">
    <xdr:from>
      <xdr:col>2</xdr:col>
      <xdr:colOff>3501</xdr:colOff>
      <xdr:row>25</xdr:row>
      <xdr:rowOff>190500</xdr:rowOff>
    </xdr:from>
    <xdr:to>
      <xdr:col>2</xdr:col>
      <xdr:colOff>194687</xdr:colOff>
      <xdr:row>27</xdr:row>
      <xdr:rowOff>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1247" t="14708" r="8294" b="18372"/>
        <a:stretch/>
      </xdr:blipFill>
      <xdr:spPr>
        <a:xfrm>
          <a:off x="1027439" y="3970734"/>
          <a:ext cx="191186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30</xdr:row>
      <xdr:rowOff>0</xdr:rowOff>
    </xdr:from>
    <xdr:to>
      <xdr:col>4</xdr:col>
      <xdr:colOff>1141</xdr:colOff>
      <xdr:row>33</xdr:row>
      <xdr:rowOff>56989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7043" y="4737652"/>
          <a:ext cx="1027044" cy="628489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36</xdr:row>
      <xdr:rowOff>0</xdr:rowOff>
    </xdr:from>
    <xdr:to>
      <xdr:col>12</xdr:col>
      <xdr:colOff>192922</xdr:colOff>
      <xdr:row>37</xdr:row>
      <xdr:rowOff>98948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1999" y="7976152"/>
          <a:ext cx="5135217" cy="2894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12</xdr:col>
      <xdr:colOff>195146</xdr:colOff>
      <xdr:row>42</xdr:row>
      <xdr:rowOff>182146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0" y="8738152"/>
          <a:ext cx="5135217" cy="563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6</xdr:col>
      <xdr:colOff>193506</xdr:colOff>
      <xdr:row>56</xdr:row>
      <xdr:rowOff>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0" y="9881152"/>
          <a:ext cx="1933863" cy="1905000"/>
        </a:xfrm>
        <a:prstGeom prst="rect">
          <a:avLst/>
        </a:prstGeom>
      </xdr:spPr>
    </xdr:pic>
    <xdr:clientData/>
  </xdr:twoCellAnchor>
  <xdr:oneCellAnchor>
    <xdr:from>
      <xdr:col>4</xdr:col>
      <xdr:colOff>346115</xdr:colOff>
      <xdr:row>11</xdr:row>
      <xdr:rowOff>45435</xdr:rowOff>
    </xdr:from>
    <xdr:ext cx="214420" cy="107210"/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304221"/>
          <a:ext cx="214420" cy="10721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12</xdr:row>
          <xdr:rowOff>30480</xdr:rowOff>
        </xdr:from>
        <xdr:to>
          <xdr:col>6</xdr:col>
          <xdr:colOff>609600</xdr:colOff>
          <xdr:row>12</xdr:row>
          <xdr:rowOff>182880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12</xdr:row>
      <xdr:rowOff>45435</xdr:rowOff>
    </xdr:from>
    <xdr:ext cx="216000" cy="108000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494721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13</xdr:row>
          <xdr:rowOff>30480</xdr:rowOff>
        </xdr:from>
        <xdr:to>
          <xdr:col>6</xdr:col>
          <xdr:colOff>609600</xdr:colOff>
          <xdr:row>13</xdr:row>
          <xdr:rowOff>182880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13</xdr:row>
      <xdr:rowOff>42033</xdr:rowOff>
    </xdr:from>
    <xdr:ext cx="216000" cy="108000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680458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14</xdr:row>
          <xdr:rowOff>30480</xdr:rowOff>
        </xdr:from>
        <xdr:to>
          <xdr:col>6</xdr:col>
          <xdr:colOff>609600</xdr:colOff>
          <xdr:row>14</xdr:row>
          <xdr:rowOff>182880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14</xdr:row>
      <xdr:rowOff>41601</xdr:rowOff>
    </xdr:from>
    <xdr:ext cx="216000" cy="107346"/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870526"/>
          <a:ext cx="216000" cy="107346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0</xdr:row>
      <xdr:rowOff>47625</xdr:rowOff>
    </xdr:from>
    <xdr:to>
      <xdr:col>3</xdr:col>
      <xdr:colOff>175200</xdr:colOff>
      <xdr:row>5</xdr:row>
      <xdr:rowOff>168000</xdr:rowOff>
    </xdr:to>
    <xdr:pic>
      <xdr:nvPicPr>
        <xdr:cNvPr id="36" name="Grafik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550" y="47625"/>
          <a:ext cx="1242000" cy="12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14</xdr:row>
          <xdr:rowOff>60960</xdr:rowOff>
        </xdr:from>
        <xdr:to>
          <xdr:col>6</xdr:col>
          <xdr:colOff>693420</xdr:colOff>
          <xdr:row>14</xdr:row>
          <xdr:rowOff>106680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345196</xdr:colOff>
      <xdr:row>1</xdr:row>
      <xdr:rowOff>28575</xdr:rowOff>
    </xdr:from>
    <xdr:to>
      <xdr:col>5</xdr:col>
      <xdr:colOff>46846</xdr:colOff>
      <xdr:row>1</xdr:row>
      <xdr:rowOff>158175</xdr:rowOff>
    </xdr:to>
    <xdr:pic>
      <xdr:nvPicPr>
        <xdr:cNvPr id="40" name="Grafik 39" descr="Österreich Flagge Aufkleber - TenStickers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896" y="381000"/>
          <a:ext cx="216000" cy="1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</xdr:row>
          <xdr:rowOff>22860</xdr:rowOff>
        </xdr:from>
        <xdr:to>
          <xdr:col>6</xdr:col>
          <xdr:colOff>609600</xdr:colOff>
          <xdr:row>1</xdr:row>
          <xdr:rowOff>175260</xdr:rowOff>
        </xdr:to>
        <xdr:sp macro="" textlink="">
          <xdr:nvSpPr>
            <xdr:cNvPr id="2067" name="Option 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228600</xdr:colOff>
      <xdr:row>7</xdr:row>
      <xdr:rowOff>57151</xdr:rowOff>
    </xdr:from>
    <xdr:to>
      <xdr:col>3</xdr:col>
      <xdr:colOff>346629</xdr:colOff>
      <xdr:row>10</xdr:row>
      <xdr:rowOff>38101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8600" y="1552576"/>
          <a:ext cx="1394379" cy="552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9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419100</xdr:colOff>
          <xdr:row>21</xdr:row>
          <xdr:rowOff>0</xdr:rowOff>
        </xdr:to>
        <xdr:sp macro="" textlink="">
          <xdr:nvSpPr>
            <xdr:cNvPr id="1033" name="Group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9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1080" name="Group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9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1088" name="Option 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9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1091" name="Option Butto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9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1092" name="Option Butto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9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9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9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9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15</xdr:row>
          <xdr:rowOff>30480</xdr:rowOff>
        </xdr:from>
        <xdr:to>
          <xdr:col>8</xdr:col>
          <xdr:colOff>830580</xdr:colOff>
          <xdr:row>16</xdr:row>
          <xdr:rowOff>0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9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16</xdr:row>
          <xdr:rowOff>30480</xdr:rowOff>
        </xdr:from>
        <xdr:to>
          <xdr:col>8</xdr:col>
          <xdr:colOff>830580</xdr:colOff>
          <xdr:row>17</xdr:row>
          <xdr:rowOff>0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9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17</xdr:row>
          <xdr:rowOff>30480</xdr:rowOff>
        </xdr:from>
        <xdr:to>
          <xdr:col>8</xdr:col>
          <xdr:colOff>830580</xdr:colOff>
          <xdr:row>18</xdr:row>
          <xdr:rowOff>0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9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18</xdr:row>
          <xdr:rowOff>30480</xdr:rowOff>
        </xdr:from>
        <xdr:to>
          <xdr:col>8</xdr:col>
          <xdr:colOff>830580</xdr:colOff>
          <xdr:row>19</xdr:row>
          <xdr:rowOff>0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9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35</xdr:row>
      <xdr:rowOff>60237</xdr:rowOff>
    </xdr:from>
    <xdr:to>
      <xdr:col>2</xdr:col>
      <xdr:colOff>566148</xdr:colOff>
      <xdr:row>35</xdr:row>
      <xdr:rowOff>360533</xdr:rowOff>
    </xdr:to>
    <xdr:pic>
      <xdr:nvPicPr>
        <xdr:cNvPr id="45" name="Grafik 7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37</xdr:row>
      <xdr:rowOff>56284</xdr:rowOff>
    </xdr:from>
    <xdr:to>
      <xdr:col>2</xdr:col>
      <xdr:colOff>538873</xdr:colOff>
      <xdr:row>37</xdr:row>
      <xdr:rowOff>356755</xdr:rowOff>
    </xdr:to>
    <xdr:pic>
      <xdr:nvPicPr>
        <xdr:cNvPr id="46" name="Grafik 8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38</xdr:row>
      <xdr:rowOff>67542</xdr:rowOff>
    </xdr:from>
    <xdr:to>
      <xdr:col>2</xdr:col>
      <xdr:colOff>544698</xdr:colOff>
      <xdr:row>38</xdr:row>
      <xdr:rowOff>355023</xdr:rowOff>
    </xdr:to>
    <xdr:pic>
      <xdr:nvPicPr>
        <xdr:cNvPr id="47" name="Grafik 9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39</xdr:row>
      <xdr:rowOff>60616</xdr:rowOff>
    </xdr:from>
    <xdr:to>
      <xdr:col>2</xdr:col>
      <xdr:colOff>511503</xdr:colOff>
      <xdr:row>39</xdr:row>
      <xdr:rowOff>363684</xdr:rowOff>
    </xdr:to>
    <xdr:pic>
      <xdr:nvPicPr>
        <xdr:cNvPr id="48" name="Grafik 10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40</xdr:row>
      <xdr:rowOff>58882</xdr:rowOff>
    </xdr:from>
    <xdr:to>
      <xdr:col>2</xdr:col>
      <xdr:colOff>559175</xdr:colOff>
      <xdr:row>40</xdr:row>
      <xdr:rowOff>359353</xdr:rowOff>
    </xdr:to>
    <xdr:pic>
      <xdr:nvPicPr>
        <xdr:cNvPr id="49" name="Grafik 11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42</xdr:row>
      <xdr:rowOff>65809</xdr:rowOff>
    </xdr:from>
    <xdr:to>
      <xdr:col>2</xdr:col>
      <xdr:colOff>592559</xdr:colOff>
      <xdr:row>42</xdr:row>
      <xdr:rowOff>354698</xdr:rowOff>
    </xdr:to>
    <xdr:pic>
      <xdr:nvPicPr>
        <xdr:cNvPr id="50" name="Grafik 12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41</xdr:row>
      <xdr:rowOff>73603</xdr:rowOff>
    </xdr:from>
    <xdr:to>
      <xdr:col>2</xdr:col>
      <xdr:colOff>598187</xdr:colOff>
      <xdr:row>41</xdr:row>
      <xdr:rowOff>340303</xdr:rowOff>
    </xdr:to>
    <xdr:pic>
      <xdr:nvPicPr>
        <xdr:cNvPr id="51" name="Grafik 147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43</xdr:row>
      <xdr:rowOff>68037</xdr:rowOff>
    </xdr:from>
    <xdr:to>
      <xdr:col>2</xdr:col>
      <xdr:colOff>652769</xdr:colOff>
      <xdr:row>43</xdr:row>
      <xdr:rowOff>350385</xdr:rowOff>
    </xdr:to>
    <xdr:pic>
      <xdr:nvPicPr>
        <xdr:cNvPr id="52" name="Grafik 13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24387" y="9492184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45</xdr:row>
      <xdr:rowOff>61232</xdr:rowOff>
    </xdr:from>
    <xdr:to>
      <xdr:col>2</xdr:col>
      <xdr:colOff>645727</xdr:colOff>
      <xdr:row>45</xdr:row>
      <xdr:rowOff>357187</xdr:rowOff>
    </xdr:to>
    <xdr:pic>
      <xdr:nvPicPr>
        <xdr:cNvPr id="61" name="Grafik 123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46</xdr:row>
      <xdr:rowOff>64635</xdr:rowOff>
    </xdr:from>
    <xdr:to>
      <xdr:col>2</xdr:col>
      <xdr:colOff>648874</xdr:colOff>
      <xdr:row>46</xdr:row>
      <xdr:rowOff>356081</xdr:rowOff>
    </xdr:to>
    <xdr:pic>
      <xdr:nvPicPr>
        <xdr:cNvPr id="62" name="Grafik 122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47</xdr:row>
      <xdr:rowOff>64635</xdr:rowOff>
    </xdr:from>
    <xdr:to>
      <xdr:col>2</xdr:col>
      <xdr:colOff>510402</xdr:colOff>
      <xdr:row>47</xdr:row>
      <xdr:rowOff>357188</xdr:rowOff>
    </xdr:to>
    <xdr:pic>
      <xdr:nvPicPr>
        <xdr:cNvPr id="63" name="Grafik 16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48</xdr:row>
      <xdr:rowOff>64635</xdr:rowOff>
    </xdr:from>
    <xdr:to>
      <xdr:col>2</xdr:col>
      <xdr:colOff>541552</xdr:colOff>
      <xdr:row>48</xdr:row>
      <xdr:rowOff>360589</xdr:rowOff>
    </xdr:to>
    <xdr:pic>
      <xdr:nvPicPr>
        <xdr:cNvPr id="64" name="Grafik 17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214485</xdr:colOff>
      <xdr:row>49</xdr:row>
      <xdr:rowOff>64635</xdr:rowOff>
    </xdr:from>
    <xdr:to>
      <xdr:col>2</xdr:col>
      <xdr:colOff>562789</xdr:colOff>
      <xdr:row>49</xdr:row>
      <xdr:rowOff>360590</xdr:rowOff>
    </xdr:to>
    <xdr:pic>
      <xdr:nvPicPr>
        <xdr:cNvPr id="65" name="Grafik 18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8432" r="11311" b="9721"/>
        <a:stretch>
          <a:fillRect/>
        </a:stretch>
      </xdr:blipFill>
      <xdr:spPr bwMode="auto">
        <a:xfrm>
          <a:off x="1509885" y="11456535"/>
          <a:ext cx="34830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51</xdr:row>
          <xdr:rowOff>68580</xdr:rowOff>
        </xdr:from>
        <xdr:to>
          <xdr:col>2</xdr:col>
          <xdr:colOff>601980</xdr:colOff>
          <xdr:row>51</xdr:row>
          <xdr:rowOff>350520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9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52</xdr:row>
      <xdr:rowOff>69583</xdr:rowOff>
    </xdr:from>
    <xdr:to>
      <xdr:col>2</xdr:col>
      <xdr:colOff>567051</xdr:colOff>
      <xdr:row>52</xdr:row>
      <xdr:rowOff>350384</xdr:rowOff>
    </xdr:to>
    <xdr:pic>
      <xdr:nvPicPr>
        <xdr:cNvPr id="66" name="Grafik 20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26158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54</xdr:row>
      <xdr:rowOff>69584</xdr:rowOff>
    </xdr:from>
    <xdr:to>
      <xdr:col>2</xdr:col>
      <xdr:colOff>515424</xdr:colOff>
      <xdr:row>54</xdr:row>
      <xdr:rowOff>357188</xdr:rowOff>
    </xdr:to>
    <xdr:pic>
      <xdr:nvPicPr>
        <xdr:cNvPr id="67" name="Grafik 21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266163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55</xdr:row>
      <xdr:rowOff>68037</xdr:rowOff>
    </xdr:from>
    <xdr:to>
      <xdr:col>2</xdr:col>
      <xdr:colOff>507315</xdr:colOff>
      <xdr:row>55</xdr:row>
      <xdr:rowOff>358104</xdr:rowOff>
    </xdr:to>
    <xdr:pic>
      <xdr:nvPicPr>
        <xdr:cNvPr id="68" name="Grafik 22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06013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56</xdr:row>
      <xdr:rowOff>68037</xdr:rowOff>
    </xdr:from>
    <xdr:to>
      <xdr:col>2</xdr:col>
      <xdr:colOff>585556</xdr:colOff>
      <xdr:row>56</xdr:row>
      <xdr:rowOff>350607</xdr:rowOff>
    </xdr:to>
    <xdr:pic>
      <xdr:nvPicPr>
        <xdr:cNvPr id="69" name="Grafik 23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46018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59</xdr:row>
      <xdr:rowOff>68037</xdr:rowOff>
    </xdr:from>
    <xdr:to>
      <xdr:col>2</xdr:col>
      <xdr:colOff>674002</xdr:colOff>
      <xdr:row>59</xdr:row>
      <xdr:rowOff>356222</xdr:rowOff>
    </xdr:to>
    <xdr:pic>
      <xdr:nvPicPr>
        <xdr:cNvPr id="70" name="Grafik 124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466033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60</xdr:row>
      <xdr:rowOff>64635</xdr:rowOff>
    </xdr:from>
    <xdr:to>
      <xdr:col>2</xdr:col>
      <xdr:colOff>678307</xdr:colOff>
      <xdr:row>60</xdr:row>
      <xdr:rowOff>357187</xdr:rowOff>
    </xdr:to>
    <xdr:pic>
      <xdr:nvPicPr>
        <xdr:cNvPr id="71" name="Grafik 128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05698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61</xdr:row>
      <xdr:rowOff>64635</xdr:rowOff>
    </xdr:from>
    <xdr:to>
      <xdr:col>2</xdr:col>
      <xdr:colOff>498413</xdr:colOff>
      <xdr:row>61</xdr:row>
      <xdr:rowOff>360590</xdr:rowOff>
    </xdr:to>
    <xdr:pic>
      <xdr:nvPicPr>
        <xdr:cNvPr id="72" name="Grafik 25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45703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62</xdr:row>
      <xdr:rowOff>64635</xdr:rowOff>
    </xdr:from>
    <xdr:to>
      <xdr:col>2</xdr:col>
      <xdr:colOff>616688</xdr:colOff>
      <xdr:row>62</xdr:row>
      <xdr:rowOff>357188</xdr:rowOff>
    </xdr:to>
    <xdr:pic>
      <xdr:nvPicPr>
        <xdr:cNvPr id="73" name="Grafik 26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585708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63</xdr:row>
      <xdr:rowOff>64635</xdr:rowOff>
    </xdr:from>
    <xdr:to>
      <xdr:col>2</xdr:col>
      <xdr:colOff>699623</xdr:colOff>
      <xdr:row>63</xdr:row>
      <xdr:rowOff>350384</xdr:rowOff>
    </xdr:to>
    <xdr:pic>
      <xdr:nvPicPr>
        <xdr:cNvPr id="74" name="Grafik 27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25713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64</xdr:row>
      <xdr:rowOff>64635</xdr:rowOff>
    </xdr:from>
    <xdr:to>
      <xdr:col>2</xdr:col>
      <xdr:colOff>534565</xdr:colOff>
      <xdr:row>64</xdr:row>
      <xdr:rowOff>360590</xdr:rowOff>
    </xdr:to>
    <xdr:pic>
      <xdr:nvPicPr>
        <xdr:cNvPr id="75" name="Grafik 28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665718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65</xdr:row>
      <xdr:rowOff>66180</xdr:rowOff>
    </xdr:from>
    <xdr:to>
      <xdr:col>2</xdr:col>
      <xdr:colOff>534529</xdr:colOff>
      <xdr:row>65</xdr:row>
      <xdr:rowOff>360911</xdr:rowOff>
    </xdr:to>
    <xdr:pic>
      <xdr:nvPicPr>
        <xdr:cNvPr id="76" name="Grafik 29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05878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66</xdr:row>
      <xdr:rowOff>66181</xdr:rowOff>
    </xdr:from>
    <xdr:to>
      <xdr:col>2</xdr:col>
      <xdr:colOff>597462</xdr:colOff>
      <xdr:row>66</xdr:row>
      <xdr:rowOff>356492</xdr:rowOff>
    </xdr:to>
    <xdr:pic>
      <xdr:nvPicPr>
        <xdr:cNvPr id="77" name="Grafik 30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45883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67</xdr:row>
      <xdr:rowOff>66183</xdr:rowOff>
    </xdr:from>
    <xdr:to>
      <xdr:col>2</xdr:col>
      <xdr:colOff>588958</xdr:colOff>
      <xdr:row>67</xdr:row>
      <xdr:rowOff>361997</xdr:rowOff>
    </xdr:to>
    <xdr:pic>
      <xdr:nvPicPr>
        <xdr:cNvPr id="78" name="Grafik 6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785888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68</xdr:row>
      <xdr:rowOff>64635</xdr:rowOff>
    </xdr:from>
    <xdr:to>
      <xdr:col>2</xdr:col>
      <xdr:colOff>587257</xdr:colOff>
      <xdr:row>68</xdr:row>
      <xdr:rowOff>359256</xdr:rowOff>
    </xdr:to>
    <xdr:pic>
      <xdr:nvPicPr>
        <xdr:cNvPr id="79" name="Grafik 6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25738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69</xdr:row>
      <xdr:rowOff>64635</xdr:rowOff>
    </xdr:from>
    <xdr:to>
      <xdr:col>2</xdr:col>
      <xdr:colOff>599503</xdr:colOff>
      <xdr:row>69</xdr:row>
      <xdr:rowOff>359910</xdr:rowOff>
    </xdr:to>
    <xdr:pic>
      <xdr:nvPicPr>
        <xdr:cNvPr id="80" name="Grafik 135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865743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70</xdr:row>
      <xdr:rowOff>64635</xdr:rowOff>
    </xdr:from>
    <xdr:to>
      <xdr:col>2</xdr:col>
      <xdr:colOff>629329</xdr:colOff>
      <xdr:row>70</xdr:row>
      <xdr:rowOff>360590</xdr:rowOff>
    </xdr:to>
    <xdr:pic>
      <xdr:nvPicPr>
        <xdr:cNvPr id="81" name="Grafik 148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057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73</xdr:row>
      <xdr:rowOff>64635</xdr:rowOff>
    </xdr:from>
    <xdr:to>
      <xdr:col>2</xdr:col>
      <xdr:colOff>632223</xdr:colOff>
      <xdr:row>73</xdr:row>
      <xdr:rowOff>357187</xdr:rowOff>
    </xdr:to>
    <xdr:pic>
      <xdr:nvPicPr>
        <xdr:cNvPr id="82" name="Grafik 35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94575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74</xdr:row>
      <xdr:rowOff>64635</xdr:rowOff>
    </xdr:from>
    <xdr:to>
      <xdr:col>2</xdr:col>
      <xdr:colOff>633569</xdr:colOff>
      <xdr:row>74</xdr:row>
      <xdr:rowOff>360589</xdr:rowOff>
    </xdr:to>
    <xdr:pic>
      <xdr:nvPicPr>
        <xdr:cNvPr id="83" name="Grafik 38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02576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75</xdr:row>
      <xdr:rowOff>64635</xdr:rowOff>
    </xdr:from>
    <xdr:to>
      <xdr:col>2</xdr:col>
      <xdr:colOff>487754</xdr:colOff>
      <xdr:row>75</xdr:row>
      <xdr:rowOff>353786</xdr:rowOff>
    </xdr:to>
    <xdr:pic>
      <xdr:nvPicPr>
        <xdr:cNvPr id="84" name="Grafik 39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06576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79</xdr:row>
      <xdr:rowOff>66180</xdr:rowOff>
    </xdr:from>
    <xdr:to>
      <xdr:col>2</xdr:col>
      <xdr:colOff>500728</xdr:colOff>
      <xdr:row>79</xdr:row>
      <xdr:rowOff>357188</xdr:rowOff>
    </xdr:to>
    <xdr:pic>
      <xdr:nvPicPr>
        <xdr:cNvPr id="86" name="Grafik 41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14593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80</xdr:row>
      <xdr:rowOff>66181</xdr:rowOff>
    </xdr:from>
    <xdr:to>
      <xdr:col>2</xdr:col>
      <xdr:colOff>500447</xdr:colOff>
      <xdr:row>80</xdr:row>
      <xdr:rowOff>353785</xdr:rowOff>
    </xdr:to>
    <xdr:pic>
      <xdr:nvPicPr>
        <xdr:cNvPr id="87" name="Grafik 42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18593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81</xdr:row>
      <xdr:rowOff>66183</xdr:rowOff>
    </xdr:from>
    <xdr:to>
      <xdr:col>2</xdr:col>
      <xdr:colOff>507412</xdr:colOff>
      <xdr:row>81</xdr:row>
      <xdr:rowOff>360591</xdr:rowOff>
    </xdr:to>
    <xdr:pic>
      <xdr:nvPicPr>
        <xdr:cNvPr id="88" name="Grafik 43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22594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82</xdr:row>
      <xdr:rowOff>64636</xdr:rowOff>
    </xdr:from>
    <xdr:to>
      <xdr:col>2</xdr:col>
      <xdr:colOff>474310</xdr:colOff>
      <xdr:row>82</xdr:row>
      <xdr:rowOff>360590</xdr:rowOff>
    </xdr:to>
    <xdr:pic>
      <xdr:nvPicPr>
        <xdr:cNvPr id="89" name="Grafik 44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26579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84</xdr:row>
      <xdr:rowOff>88731</xdr:rowOff>
    </xdr:from>
    <xdr:to>
      <xdr:col>2</xdr:col>
      <xdr:colOff>570673</xdr:colOff>
      <xdr:row>84</xdr:row>
      <xdr:rowOff>329690</xdr:rowOff>
    </xdr:to>
    <xdr:pic>
      <xdr:nvPicPr>
        <xdr:cNvPr id="90" name="Grafik 46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5520" y="26010338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85</xdr:row>
      <xdr:rowOff>64635</xdr:rowOff>
    </xdr:from>
    <xdr:to>
      <xdr:col>2</xdr:col>
      <xdr:colOff>497853</xdr:colOff>
      <xdr:row>85</xdr:row>
      <xdr:rowOff>353786</xdr:rowOff>
    </xdr:to>
    <xdr:pic>
      <xdr:nvPicPr>
        <xdr:cNvPr id="91" name="Grafik 47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385808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87</xdr:row>
      <xdr:rowOff>64635</xdr:rowOff>
    </xdr:from>
    <xdr:to>
      <xdr:col>2</xdr:col>
      <xdr:colOff>482327</xdr:colOff>
      <xdr:row>87</xdr:row>
      <xdr:rowOff>357187</xdr:rowOff>
    </xdr:to>
    <xdr:pic>
      <xdr:nvPicPr>
        <xdr:cNvPr id="92" name="Grafik 48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42581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88</xdr:row>
      <xdr:rowOff>64635</xdr:rowOff>
    </xdr:from>
    <xdr:to>
      <xdr:col>2</xdr:col>
      <xdr:colOff>585555</xdr:colOff>
      <xdr:row>88</xdr:row>
      <xdr:rowOff>358738</xdr:rowOff>
    </xdr:to>
    <xdr:pic>
      <xdr:nvPicPr>
        <xdr:cNvPr id="93" name="Grafik 19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46581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89</xdr:row>
      <xdr:rowOff>88449</xdr:rowOff>
    </xdr:from>
    <xdr:to>
      <xdr:col>2</xdr:col>
      <xdr:colOff>551878</xdr:colOff>
      <xdr:row>89</xdr:row>
      <xdr:rowOff>326574</xdr:rowOff>
    </xdr:to>
    <xdr:pic>
      <xdr:nvPicPr>
        <xdr:cNvPr id="94" name="Grafik 49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50820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90</xdr:row>
      <xdr:rowOff>64635</xdr:rowOff>
    </xdr:from>
    <xdr:to>
      <xdr:col>2</xdr:col>
      <xdr:colOff>476699</xdr:colOff>
      <xdr:row>90</xdr:row>
      <xdr:rowOff>360707</xdr:rowOff>
    </xdr:to>
    <xdr:pic>
      <xdr:nvPicPr>
        <xdr:cNvPr id="95" name="Grafik 50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54582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95</xdr:row>
      <xdr:rowOff>66182</xdr:rowOff>
    </xdr:from>
    <xdr:to>
      <xdr:col>2</xdr:col>
      <xdr:colOff>563444</xdr:colOff>
      <xdr:row>95</xdr:row>
      <xdr:rowOff>358338</xdr:rowOff>
    </xdr:to>
    <xdr:pic>
      <xdr:nvPicPr>
        <xdr:cNvPr id="97" name="Grafik 52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625993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273084</xdr:colOff>
      <xdr:row>96</xdr:row>
      <xdr:rowOff>66183</xdr:rowOff>
    </xdr:from>
    <xdr:to>
      <xdr:col>2</xdr:col>
      <xdr:colOff>506822</xdr:colOff>
      <xdr:row>96</xdr:row>
      <xdr:rowOff>363993</xdr:rowOff>
    </xdr:to>
    <xdr:pic>
      <xdr:nvPicPr>
        <xdr:cNvPr id="98" name="Grafik 53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4" t="5661" r="29134" b="7796"/>
        <a:stretch>
          <a:fillRect/>
        </a:stretch>
      </xdr:blipFill>
      <xdr:spPr bwMode="auto">
        <a:xfrm>
          <a:off x="1568484" y="26659983"/>
          <a:ext cx="233738" cy="29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97</xdr:row>
      <xdr:rowOff>64635</xdr:rowOff>
    </xdr:from>
    <xdr:to>
      <xdr:col>2</xdr:col>
      <xdr:colOff>551538</xdr:colOff>
      <xdr:row>97</xdr:row>
      <xdr:rowOff>361600</xdr:rowOff>
    </xdr:to>
    <xdr:pic>
      <xdr:nvPicPr>
        <xdr:cNvPr id="99" name="Grafik 54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705848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99</xdr:row>
      <xdr:rowOff>64634</xdr:rowOff>
    </xdr:from>
    <xdr:to>
      <xdr:col>2</xdr:col>
      <xdr:colOff>544574</xdr:colOff>
      <xdr:row>99</xdr:row>
      <xdr:rowOff>357188</xdr:rowOff>
    </xdr:to>
    <xdr:pic>
      <xdr:nvPicPr>
        <xdr:cNvPr id="100" name="Grafik 171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74585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137541</xdr:colOff>
      <xdr:row>100</xdr:row>
      <xdr:rowOff>125867</xdr:rowOff>
    </xdr:from>
    <xdr:to>
      <xdr:col>2</xdr:col>
      <xdr:colOff>642366</xdr:colOff>
      <xdr:row>100</xdr:row>
      <xdr:rowOff>278267</xdr:rowOff>
    </xdr:to>
    <xdr:pic>
      <xdr:nvPicPr>
        <xdr:cNvPr id="101" name="Grafik 166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27919817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101</xdr:row>
      <xdr:rowOff>64635</xdr:rowOff>
    </xdr:from>
    <xdr:to>
      <xdr:col>2</xdr:col>
      <xdr:colOff>689991</xdr:colOff>
      <xdr:row>101</xdr:row>
      <xdr:rowOff>340860</xdr:rowOff>
    </xdr:to>
    <xdr:pic>
      <xdr:nvPicPr>
        <xdr:cNvPr id="103" name="Grafik 56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2825863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102</xdr:row>
      <xdr:rowOff>64636</xdr:rowOff>
    </xdr:from>
    <xdr:to>
      <xdr:col>2</xdr:col>
      <xdr:colOff>592359</xdr:colOff>
      <xdr:row>102</xdr:row>
      <xdr:rowOff>361498</xdr:rowOff>
    </xdr:to>
    <xdr:pic>
      <xdr:nvPicPr>
        <xdr:cNvPr id="104" name="Grafik 57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28658686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103</xdr:row>
      <xdr:rowOff>64635</xdr:rowOff>
    </xdr:from>
    <xdr:to>
      <xdr:col>2</xdr:col>
      <xdr:colOff>640756</xdr:colOff>
      <xdr:row>103</xdr:row>
      <xdr:rowOff>360590</xdr:rowOff>
    </xdr:to>
    <xdr:pic>
      <xdr:nvPicPr>
        <xdr:cNvPr id="105" name="Grafik 58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290587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104</xdr:row>
          <xdr:rowOff>68580</xdr:rowOff>
        </xdr:from>
        <xdr:to>
          <xdr:col>2</xdr:col>
          <xdr:colOff>601980</xdr:colOff>
          <xdr:row>104</xdr:row>
          <xdr:rowOff>350520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9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105</xdr:row>
      <xdr:rowOff>64635</xdr:rowOff>
    </xdr:from>
    <xdr:to>
      <xdr:col>2</xdr:col>
      <xdr:colOff>565761</xdr:colOff>
      <xdr:row>105</xdr:row>
      <xdr:rowOff>352901</xdr:rowOff>
    </xdr:to>
    <xdr:pic>
      <xdr:nvPicPr>
        <xdr:cNvPr id="106" name="Grafik 60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298588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106</xdr:row>
      <xdr:rowOff>64635</xdr:rowOff>
    </xdr:from>
    <xdr:to>
      <xdr:col>2</xdr:col>
      <xdr:colOff>585808</xdr:colOff>
      <xdr:row>106</xdr:row>
      <xdr:rowOff>350384</xdr:rowOff>
    </xdr:to>
    <xdr:pic>
      <xdr:nvPicPr>
        <xdr:cNvPr id="107" name="Grafik 61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02588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107</xdr:row>
      <xdr:rowOff>64635</xdr:rowOff>
    </xdr:from>
    <xdr:to>
      <xdr:col>2</xdr:col>
      <xdr:colOff>561743</xdr:colOff>
      <xdr:row>107</xdr:row>
      <xdr:rowOff>352408</xdr:rowOff>
    </xdr:to>
    <xdr:pic>
      <xdr:nvPicPr>
        <xdr:cNvPr id="108" name="Grafik 62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06589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110</xdr:row>
      <xdr:rowOff>64635</xdr:rowOff>
    </xdr:from>
    <xdr:to>
      <xdr:col>2</xdr:col>
      <xdr:colOff>677404</xdr:colOff>
      <xdr:row>110</xdr:row>
      <xdr:rowOff>352085</xdr:rowOff>
    </xdr:to>
    <xdr:pic>
      <xdr:nvPicPr>
        <xdr:cNvPr id="109" name="Grafik 63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10589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23</xdr:row>
          <xdr:rowOff>0</xdr:rowOff>
        </xdr:from>
        <xdr:to>
          <xdr:col>7</xdr:col>
          <xdr:colOff>762000</xdr:colOff>
          <xdr:row>29</xdr:row>
          <xdr:rowOff>38100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9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24</xdr:row>
          <xdr:rowOff>7620</xdr:rowOff>
        </xdr:from>
        <xdr:to>
          <xdr:col>6</xdr:col>
          <xdr:colOff>335280</xdr:colOff>
          <xdr:row>24</xdr:row>
          <xdr:rowOff>182880</xdr:rowOff>
        </xdr:to>
        <xdr:sp macro="" textlink="">
          <xdr:nvSpPr>
            <xdr:cNvPr id="1123" name="Option 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9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23</xdr:row>
          <xdr:rowOff>0</xdr:rowOff>
        </xdr:from>
        <xdr:to>
          <xdr:col>12</xdr:col>
          <xdr:colOff>144780</xdr:colOff>
          <xdr:row>29</xdr:row>
          <xdr:rowOff>68580</xdr:rowOff>
        </xdr:to>
        <xdr:sp macro="" textlink="">
          <xdr:nvSpPr>
            <xdr:cNvPr id="1138" name="Group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9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24</xdr:row>
          <xdr:rowOff>7620</xdr:rowOff>
        </xdr:from>
        <xdr:to>
          <xdr:col>9</xdr:col>
          <xdr:colOff>350520</xdr:colOff>
          <xdr:row>24</xdr:row>
          <xdr:rowOff>182880</xdr:rowOff>
        </xdr:to>
        <xdr:sp macro="" textlink="">
          <xdr:nvSpPr>
            <xdr:cNvPr id="1139" name="Option Butto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9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25</xdr:row>
          <xdr:rowOff>7620</xdr:rowOff>
        </xdr:from>
        <xdr:to>
          <xdr:col>6</xdr:col>
          <xdr:colOff>335280</xdr:colOff>
          <xdr:row>25</xdr:row>
          <xdr:rowOff>182880</xdr:rowOff>
        </xdr:to>
        <xdr:sp macro="" textlink="">
          <xdr:nvSpPr>
            <xdr:cNvPr id="1156" name="Option Butto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9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25</xdr:row>
          <xdr:rowOff>7620</xdr:rowOff>
        </xdr:from>
        <xdr:to>
          <xdr:col>9</xdr:col>
          <xdr:colOff>350520</xdr:colOff>
          <xdr:row>25</xdr:row>
          <xdr:rowOff>182880</xdr:rowOff>
        </xdr:to>
        <xdr:sp macro="" textlink="">
          <xdr:nvSpPr>
            <xdr:cNvPr id="1157" name="Option Butto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9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26</xdr:row>
          <xdr:rowOff>7620</xdr:rowOff>
        </xdr:from>
        <xdr:to>
          <xdr:col>6</xdr:col>
          <xdr:colOff>335280</xdr:colOff>
          <xdr:row>26</xdr:row>
          <xdr:rowOff>182880</xdr:rowOff>
        </xdr:to>
        <xdr:sp macro="" textlink="">
          <xdr:nvSpPr>
            <xdr:cNvPr id="1158" name="Option Butto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9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26</xdr:row>
          <xdr:rowOff>7620</xdr:rowOff>
        </xdr:from>
        <xdr:to>
          <xdr:col>9</xdr:col>
          <xdr:colOff>350520</xdr:colOff>
          <xdr:row>26</xdr:row>
          <xdr:rowOff>182880</xdr:rowOff>
        </xdr:to>
        <xdr:sp macro="" textlink="">
          <xdr:nvSpPr>
            <xdr:cNvPr id="1159" name="Option Butto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9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27</xdr:row>
          <xdr:rowOff>0</xdr:rowOff>
        </xdr:from>
        <xdr:to>
          <xdr:col>6</xdr:col>
          <xdr:colOff>335280</xdr:colOff>
          <xdr:row>27</xdr:row>
          <xdr:rowOff>182880</xdr:rowOff>
        </xdr:to>
        <xdr:sp macro="" textlink="">
          <xdr:nvSpPr>
            <xdr:cNvPr id="1160" name="Option Butto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9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27</xdr:row>
          <xdr:rowOff>0</xdr:rowOff>
        </xdr:from>
        <xdr:to>
          <xdr:col>9</xdr:col>
          <xdr:colOff>350520</xdr:colOff>
          <xdr:row>27</xdr:row>
          <xdr:rowOff>182880</xdr:rowOff>
        </xdr:to>
        <xdr:sp macro="" textlink="">
          <xdr:nvSpPr>
            <xdr:cNvPr id="1161" name="Option Butto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9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28</xdr:row>
          <xdr:rowOff>0</xdr:rowOff>
        </xdr:from>
        <xdr:to>
          <xdr:col>6</xdr:col>
          <xdr:colOff>335280</xdr:colOff>
          <xdr:row>28</xdr:row>
          <xdr:rowOff>182880</xdr:rowOff>
        </xdr:to>
        <xdr:sp macro="" textlink="">
          <xdr:nvSpPr>
            <xdr:cNvPr id="1162" name="Option 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9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792480</xdr:colOff>
          <xdr:row>28</xdr:row>
          <xdr:rowOff>0</xdr:rowOff>
        </xdr:from>
        <xdr:to>
          <xdr:col>9</xdr:col>
          <xdr:colOff>350520</xdr:colOff>
          <xdr:row>28</xdr:row>
          <xdr:rowOff>182880</xdr:rowOff>
        </xdr:to>
        <xdr:sp macro="" textlink="">
          <xdr:nvSpPr>
            <xdr:cNvPr id="1163" name="Option 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9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50</xdr:row>
      <xdr:rowOff>70450</xdr:rowOff>
    </xdr:from>
    <xdr:to>
      <xdr:col>2</xdr:col>
      <xdr:colOff>645534</xdr:colOff>
      <xdr:row>50</xdr:row>
      <xdr:rowOff>332836</xdr:rowOff>
    </xdr:to>
    <xdr:pic>
      <xdr:nvPicPr>
        <xdr:cNvPr id="112" name="Grafik 3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382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297180</xdr:colOff>
          <xdr:row>12</xdr:row>
          <xdr:rowOff>182880</xdr:rowOff>
        </xdr:to>
        <xdr:sp macro="" textlink="">
          <xdr:nvSpPr>
            <xdr:cNvPr id="1164" name="Option 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9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640080</xdr:colOff>
          <xdr:row>12</xdr:row>
          <xdr:rowOff>182880</xdr:rowOff>
        </xdr:to>
        <xdr:sp macro="" textlink="">
          <xdr:nvSpPr>
            <xdr:cNvPr id="1165" name="Option 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9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86</xdr:row>
      <xdr:rowOff>32426</xdr:rowOff>
    </xdr:from>
    <xdr:to>
      <xdr:col>2</xdr:col>
      <xdr:colOff>507607</xdr:colOff>
      <xdr:row>86</xdr:row>
      <xdr:rowOff>364769</xdr:rowOff>
    </xdr:to>
    <xdr:pic>
      <xdr:nvPicPr>
        <xdr:cNvPr id="113" name="Grafik 48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8852" y="6622915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98</xdr:row>
      <xdr:rowOff>36047</xdr:rowOff>
    </xdr:from>
    <xdr:to>
      <xdr:col>2</xdr:col>
      <xdr:colOff>551268</xdr:colOff>
      <xdr:row>98</xdr:row>
      <xdr:rowOff>368011</xdr:rowOff>
    </xdr:to>
    <xdr:pic>
      <xdr:nvPicPr>
        <xdr:cNvPr id="114" name="Grafik 54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4668" y="29334081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71</xdr:row>
      <xdr:rowOff>64635</xdr:rowOff>
    </xdr:from>
    <xdr:to>
      <xdr:col>2</xdr:col>
      <xdr:colOff>629329</xdr:colOff>
      <xdr:row>71</xdr:row>
      <xdr:rowOff>360590</xdr:rowOff>
    </xdr:to>
    <xdr:pic>
      <xdr:nvPicPr>
        <xdr:cNvPr id="115" name="Grafik 148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72</xdr:row>
      <xdr:rowOff>30307</xdr:rowOff>
    </xdr:from>
    <xdr:to>
      <xdr:col>2</xdr:col>
      <xdr:colOff>644695</xdr:colOff>
      <xdr:row>72</xdr:row>
      <xdr:rowOff>355023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31073" y="20167023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77</xdr:row>
      <xdr:rowOff>33138</xdr:rowOff>
    </xdr:from>
    <xdr:to>
      <xdr:col>2</xdr:col>
      <xdr:colOff>559149</xdr:colOff>
      <xdr:row>77</xdr:row>
      <xdr:rowOff>376670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80437" y="22161445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78</xdr:row>
      <xdr:rowOff>38965</xdr:rowOff>
    </xdr:from>
    <xdr:to>
      <xdr:col>2</xdr:col>
      <xdr:colOff>559068</xdr:colOff>
      <xdr:row>78</xdr:row>
      <xdr:rowOff>372341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26972" y="6632863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93</xdr:row>
      <xdr:rowOff>11414</xdr:rowOff>
    </xdr:from>
    <xdr:to>
      <xdr:col>2</xdr:col>
      <xdr:colOff>525888</xdr:colOff>
      <xdr:row>93</xdr:row>
      <xdr:rowOff>388310</xdr:rowOff>
    </xdr:to>
    <xdr:pic>
      <xdr:nvPicPr>
        <xdr:cNvPr id="118" name="Grafik 52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0346" y="27792217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114</xdr:row>
      <xdr:rowOff>21479</xdr:rowOff>
    </xdr:from>
    <xdr:to>
      <xdr:col>2</xdr:col>
      <xdr:colOff>655545</xdr:colOff>
      <xdr:row>114</xdr:row>
      <xdr:rowOff>372597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3147" y="7411758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115</xdr:row>
      <xdr:rowOff>17586</xdr:rowOff>
    </xdr:from>
    <xdr:to>
      <xdr:col>2</xdr:col>
      <xdr:colOff>630222</xdr:colOff>
      <xdr:row>115</xdr:row>
      <xdr:rowOff>386862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59524" y="7816363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324958</xdr:colOff>
      <xdr:row>83</xdr:row>
      <xdr:rowOff>56040</xdr:rowOff>
    </xdr:from>
    <xdr:to>
      <xdr:col>2</xdr:col>
      <xdr:colOff>460126</xdr:colOff>
      <xdr:row>83</xdr:row>
      <xdr:rowOff>351240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24840" y="25213246"/>
          <a:ext cx="135168" cy="295200"/>
        </a:xfrm>
        <a:prstGeom prst="rect">
          <a:avLst/>
        </a:prstGeom>
      </xdr:spPr>
    </xdr:pic>
    <xdr:clientData/>
  </xdr:twoCellAnchor>
  <xdr:twoCellAnchor>
    <xdr:from>
      <xdr:col>2</xdr:col>
      <xdr:colOff>190496</xdr:colOff>
      <xdr:row>44</xdr:row>
      <xdr:rowOff>67242</xdr:rowOff>
    </xdr:from>
    <xdr:to>
      <xdr:col>2</xdr:col>
      <xdr:colOff>611696</xdr:colOff>
      <xdr:row>44</xdr:row>
      <xdr:rowOff>348042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78" y="9894801"/>
          <a:ext cx="421200" cy="280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1183" name="Group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9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1184" name="Option Butto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9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1185" name="Option Butto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9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16" name="Grafik 4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9525</xdr:colOff>
      <xdr:row>0</xdr:row>
      <xdr:rowOff>95250</xdr:rowOff>
    </xdr:from>
    <xdr:to>
      <xdr:col>7</xdr:col>
      <xdr:colOff>618500</xdr:colOff>
      <xdr:row>5</xdr:row>
      <xdr:rowOff>76200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95250"/>
          <a:ext cx="1971050" cy="1314450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36</xdr:row>
      <xdr:rowOff>56029</xdr:rowOff>
    </xdr:from>
    <xdr:to>
      <xdr:col>2</xdr:col>
      <xdr:colOff>511904</xdr:colOff>
      <xdr:row>36</xdr:row>
      <xdr:rowOff>356325</xdr:rowOff>
    </xdr:to>
    <xdr:pic>
      <xdr:nvPicPr>
        <xdr:cNvPr id="119" name="Grafik 7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56764" y="7855323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</xdr:row>
      <xdr:rowOff>67235</xdr:rowOff>
    </xdr:from>
    <xdr:to>
      <xdr:col>2</xdr:col>
      <xdr:colOff>544696</xdr:colOff>
      <xdr:row>53</xdr:row>
      <xdr:rowOff>348036</xdr:rowOff>
    </xdr:to>
    <xdr:pic>
      <xdr:nvPicPr>
        <xdr:cNvPr id="120" name="Grafik 20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90382" y="14724529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199890</xdr:colOff>
      <xdr:row>94</xdr:row>
      <xdr:rowOff>33617</xdr:rowOff>
    </xdr:from>
    <xdr:to>
      <xdr:col>2</xdr:col>
      <xdr:colOff>560293</xdr:colOff>
      <xdr:row>94</xdr:row>
      <xdr:rowOff>394020</xdr:rowOff>
    </xdr:to>
    <xdr:pic>
      <xdr:nvPicPr>
        <xdr:cNvPr id="121" name="Grafik 52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9772" y="30827382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57</xdr:row>
      <xdr:rowOff>40196</xdr:rowOff>
    </xdr:from>
    <xdr:to>
      <xdr:col>2</xdr:col>
      <xdr:colOff>571500</xdr:colOff>
      <xdr:row>57</xdr:row>
      <xdr:rowOff>371476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58</xdr:row>
      <xdr:rowOff>40196</xdr:rowOff>
    </xdr:from>
    <xdr:to>
      <xdr:col>2</xdr:col>
      <xdr:colOff>571500</xdr:colOff>
      <xdr:row>58</xdr:row>
      <xdr:rowOff>371476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" y="16223171"/>
          <a:ext cx="352425" cy="33128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76</xdr:row>
      <xdr:rowOff>47625</xdr:rowOff>
    </xdr:from>
    <xdr:to>
      <xdr:col>2</xdr:col>
      <xdr:colOff>533363</xdr:colOff>
      <xdr:row>76</xdr:row>
      <xdr:rowOff>361911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91</xdr:row>
      <xdr:rowOff>19050</xdr:rowOff>
    </xdr:from>
    <xdr:to>
      <xdr:col>2</xdr:col>
      <xdr:colOff>581025</xdr:colOff>
      <xdr:row>91</xdr:row>
      <xdr:rowOff>394002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92</xdr:row>
      <xdr:rowOff>19050</xdr:rowOff>
    </xdr:from>
    <xdr:to>
      <xdr:col>2</xdr:col>
      <xdr:colOff>581025</xdr:colOff>
      <xdr:row>92</xdr:row>
      <xdr:rowOff>394002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95425" y="294036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108</xdr:row>
      <xdr:rowOff>19050</xdr:rowOff>
    </xdr:from>
    <xdr:to>
      <xdr:col>2</xdr:col>
      <xdr:colOff>428625</xdr:colOff>
      <xdr:row>108</xdr:row>
      <xdr:rowOff>381000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109</xdr:row>
      <xdr:rowOff>120153</xdr:rowOff>
    </xdr:from>
    <xdr:to>
      <xdr:col>2</xdr:col>
      <xdr:colOff>585430</xdr:colOff>
      <xdr:row>109</xdr:row>
      <xdr:rowOff>295579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111</xdr:row>
      <xdr:rowOff>27877</xdr:rowOff>
    </xdr:from>
    <xdr:to>
      <xdr:col>2</xdr:col>
      <xdr:colOff>678364</xdr:colOff>
      <xdr:row>111</xdr:row>
      <xdr:rowOff>373656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4886" b="13458"/>
        <a:stretch/>
      </xdr:blipFill>
      <xdr:spPr>
        <a:xfrm>
          <a:off x="1411558" y="37375170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113</xdr:row>
      <xdr:rowOff>18316</xdr:rowOff>
    </xdr:from>
    <xdr:to>
      <xdr:col>2</xdr:col>
      <xdr:colOff>532488</xdr:colOff>
      <xdr:row>113</xdr:row>
      <xdr:rowOff>373673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70157" y="324509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112</xdr:row>
      <xdr:rowOff>19366</xdr:rowOff>
    </xdr:from>
    <xdr:to>
      <xdr:col>2</xdr:col>
      <xdr:colOff>471118</xdr:colOff>
      <xdr:row>112</xdr:row>
      <xdr:rowOff>391991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619980" y="382050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</xdr:row>
      <xdr:rowOff>9525</xdr:rowOff>
    </xdr:from>
    <xdr:to>
      <xdr:col>4</xdr:col>
      <xdr:colOff>611533</xdr:colOff>
      <xdr:row>3</xdr:row>
      <xdr:rowOff>142873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695450" y="361950"/>
          <a:ext cx="1706908" cy="676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13</xdr:col>
          <xdr:colOff>0</xdr:colOff>
          <xdr:row>9</xdr:row>
          <xdr:rowOff>0</xdr:rowOff>
        </xdr:to>
        <xdr:sp macro="" textlink="">
          <xdr:nvSpPr>
            <xdr:cNvPr id="72705" name="Group Box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0A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9</xdr:col>
          <xdr:colOff>0</xdr:colOff>
          <xdr:row>22</xdr:row>
          <xdr:rowOff>0</xdr:rowOff>
        </xdr:to>
        <xdr:sp macro="" textlink="">
          <xdr:nvSpPr>
            <xdr:cNvPr id="72706" name="Group Box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0A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2707" name="Group Box 3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id="{00000000-0008-0000-0A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72708" name="Option Button 4" hidden="1">
              <a:extLst>
                <a:ext uri="{63B3BB69-23CF-44E3-9099-C40C66FF867C}">
                  <a14:compatExt spid="_x0000_s72708"/>
                </a:ext>
                <a:ext uri="{FF2B5EF4-FFF2-40B4-BE49-F238E27FC236}">
                  <a16:creationId xmlns:a16="http://schemas.microsoft.com/office/drawing/2014/main" id="{00000000-0008-0000-0A00-00000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72709" name="Option Button 5" hidden="1">
              <a:extLst>
                <a:ext uri="{63B3BB69-23CF-44E3-9099-C40C66FF867C}">
                  <a14:compatExt spid="_x0000_s72709"/>
                </a:ext>
                <a:ext uri="{FF2B5EF4-FFF2-40B4-BE49-F238E27FC236}">
                  <a16:creationId xmlns:a16="http://schemas.microsoft.com/office/drawing/2014/main" id="{00000000-0008-0000-0A00-00000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72710" name="Option Button 6" hidden="1">
              <a:extLst>
                <a:ext uri="{63B3BB69-23CF-44E3-9099-C40C66FF867C}">
                  <a14:compatExt spid="_x0000_s72710"/>
                </a:ext>
                <a:ext uri="{FF2B5EF4-FFF2-40B4-BE49-F238E27FC236}">
                  <a16:creationId xmlns:a16="http://schemas.microsoft.com/office/drawing/2014/main" id="{00000000-0008-0000-0A00-00000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72711" name="Option Button 7" hidden="1">
              <a:extLst>
                <a:ext uri="{63B3BB69-23CF-44E3-9099-C40C66FF867C}">
                  <a14:compatExt spid="_x0000_s72711"/>
                </a:ext>
                <a:ext uri="{FF2B5EF4-FFF2-40B4-BE49-F238E27FC236}">
                  <a16:creationId xmlns:a16="http://schemas.microsoft.com/office/drawing/2014/main" id="{00000000-0008-0000-0A00-00000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211126</xdr:colOff>
      <xdr:row>30</xdr:row>
      <xdr:rowOff>60237</xdr:rowOff>
    </xdr:from>
    <xdr:to>
      <xdr:col>2</xdr:col>
      <xdr:colOff>566148</xdr:colOff>
      <xdr:row>30</xdr:row>
      <xdr:rowOff>360533</xdr:rowOff>
    </xdr:to>
    <xdr:pic>
      <xdr:nvPicPr>
        <xdr:cNvPr id="27" name="Grafik 7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32</xdr:row>
      <xdr:rowOff>56284</xdr:rowOff>
    </xdr:from>
    <xdr:to>
      <xdr:col>2</xdr:col>
      <xdr:colOff>538873</xdr:colOff>
      <xdr:row>32</xdr:row>
      <xdr:rowOff>356755</xdr:rowOff>
    </xdr:to>
    <xdr:pic>
      <xdr:nvPicPr>
        <xdr:cNvPr id="28" name="Grafik 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33</xdr:row>
      <xdr:rowOff>67542</xdr:rowOff>
    </xdr:from>
    <xdr:to>
      <xdr:col>2</xdr:col>
      <xdr:colOff>544698</xdr:colOff>
      <xdr:row>33</xdr:row>
      <xdr:rowOff>355023</xdr:rowOff>
    </xdr:to>
    <xdr:pic>
      <xdr:nvPicPr>
        <xdr:cNvPr id="29" name="Grafik 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34</xdr:row>
      <xdr:rowOff>60616</xdr:rowOff>
    </xdr:from>
    <xdr:to>
      <xdr:col>2</xdr:col>
      <xdr:colOff>511503</xdr:colOff>
      <xdr:row>34</xdr:row>
      <xdr:rowOff>363684</xdr:rowOff>
    </xdr:to>
    <xdr:pic>
      <xdr:nvPicPr>
        <xdr:cNvPr id="30" name="Grafik 10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35</xdr:row>
      <xdr:rowOff>58882</xdr:rowOff>
    </xdr:from>
    <xdr:to>
      <xdr:col>2</xdr:col>
      <xdr:colOff>559175</xdr:colOff>
      <xdr:row>35</xdr:row>
      <xdr:rowOff>359353</xdr:rowOff>
    </xdr:to>
    <xdr:pic>
      <xdr:nvPicPr>
        <xdr:cNvPr id="31" name="Grafik 11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37</xdr:row>
      <xdr:rowOff>65809</xdr:rowOff>
    </xdr:from>
    <xdr:to>
      <xdr:col>2</xdr:col>
      <xdr:colOff>592559</xdr:colOff>
      <xdr:row>37</xdr:row>
      <xdr:rowOff>354698</xdr:rowOff>
    </xdr:to>
    <xdr:pic>
      <xdr:nvPicPr>
        <xdr:cNvPr id="32" name="Grafik 12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36</xdr:row>
      <xdr:rowOff>73603</xdr:rowOff>
    </xdr:from>
    <xdr:to>
      <xdr:col>2</xdr:col>
      <xdr:colOff>598187</xdr:colOff>
      <xdr:row>36</xdr:row>
      <xdr:rowOff>340303</xdr:rowOff>
    </xdr:to>
    <xdr:pic>
      <xdr:nvPicPr>
        <xdr:cNvPr id="33" name="Grafik 147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38</xdr:row>
      <xdr:rowOff>68037</xdr:rowOff>
    </xdr:from>
    <xdr:to>
      <xdr:col>2</xdr:col>
      <xdr:colOff>652769</xdr:colOff>
      <xdr:row>38</xdr:row>
      <xdr:rowOff>350385</xdr:rowOff>
    </xdr:to>
    <xdr:pic>
      <xdr:nvPicPr>
        <xdr:cNvPr id="34" name="Grafik 1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19905" y="9459687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40</xdr:row>
      <xdr:rowOff>61232</xdr:rowOff>
    </xdr:from>
    <xdr:to>
      <xdr:col>2</xdr:col>
      <xdr:colOff>645727</xdr:colOff>
      <xdr:row>40</xdr:row>
      <xdr:rowOff>357187</xdr:rowOff>
    </xdr:to>
    <xdr:pic>
      <xdr:nvPicPr>
        <xdr:cNvPr id="35" name="Grafik 123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41</xdr:row>
      <xdr:rowOff>64635</xdr:rowOff>
    </xdr:from>
    <xdr:to>
      <xdr:col>2</xdr:col>
      <xdr:colOff>648874</xdr:colOff>
      <xdr:row>41</xdr:row>
      <xdr:rowOff>356081</xdr:rowOff>
    </xdr:to>
    <xdr:pic>
      <xdr:nvPicPr>
        <xdr:cNvPr id="36" name="Grafik 122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42</xdr:row>
      <xdr:rowOff>64635</xdr:rowOff>
    </xdr:from>
    <xdr:to>
      <xdr:col>2</xdr:col>
      <xdr:colOff>510402</xdr:colOff>
      <xdr:row>42</xdr:row>
      <xdr:rowOff>357188</xdr:rowOff>
    </xdr:to>
    <xdr:pic>
      <xdr:nvPicPr>
        <xdr:cNvPr id="37" name="Grafik 1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43</xdr:row>
      <xdr:rowOff>64635</xdr:rowOff>
    </xdr:from>
    <xdr:to>
      <xdr:col>2</xdr:col>
      <xdr:colOff>541552</xdr:colOff>
      <xdr:row>43</xdr:row>
      <xdr:rowOff>360589</xdr:rowOff>
    </xdr:to>
    <xdr:pic>
      <xdr:nvPicPr>
        <xdr:cNvPr id="38" name="Grafik 1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45</xdr:row>
          <xdr:rowOff>68580</xdr:rowOff>
        </xdr:from>
        <xdr:to>
          <xdr:col>2</xdr:col>
          <xdr:colOff>601980</xdr:colOff>
          <xdr:row>45</xdr:row>
          <xdr:rowOff>350520</xdr:rowOff>
        </xdr:to>
        <xdr:sp macro="" textlink="">
          <xdr:nvSpPr>
            <xdr:cNvPr id="72721" name="Object 17" hidden="1">
              <a:extLst>
                <a:ext uri="{63B3BB69-23CF-44E3-9099-C40C66FF867C}">
                  <a14:compatExt spid="_x0000_s72721"/>
                </a:ext>
                <a:ext uri="{FF2B5EF4-FFF2-40B4-BE49-F238E27FC236}">
                  <a16:creationId xmlns:a16="http://schemas.microsoft.com/office/drawing/2014/main" id="{00000000-0008-0000-0A00-00001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46</xdr:row>
      <xdr:rowOff>69583</xdr:rowOff>
    </xdr:from>
    <xdr:to>
      <xdr:col>2</xdr:col>
      <xdr:colOff>567051</xdr:colOff>
      <xdr:row>46</xdr:row>
      <xdr:rowOff>350384</xdr:rowOff>
    </xdr:to>
    <xdr:pic>
      <xdr:nvPicPr>
        <xdr:cNvPr id="41" name="Grafik 2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66163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48</xdr:row>
      <xdr:rowOff>69584</xdr:rowOff>
    </xdr:from>
    <xdr:to>
      <xdr:col>2</xdr:col>
      <xdr:colOff>515424</xdr:colOff>
      <xdr:row>48</xdr:row>
      <xdr:rowOff>357188</xdr:rowOff>
    </xdr:to>
    <xdr:pic>
      <xdr:nvPicPr>
        <xdr:cNvPr id="42" name="Grafik 2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306168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49</xdr:row>
      <xdr:rowOff>68037</xdr:rowOff>
    </xdr:from>
    <xdr:to>
      <xdr:col>2</xdr:col>
      <xdr:colOff>507315</xdr:colOff>
      <xdr:row>49</xdr:row>
      <xdr:rowOff>358104</xdr:rowOff>
    </xdr:to>
    <xdr:pic>
      <xdr:nvPicPr>
        <xdr:cNvPr id="43" name="Grafik 2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46018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50</xdr:row>
      <xdr:rowOff>68037</xdr:rowOff>
    </xdr:from>
    <xdr:to>
      <xdr:col>2</xdr:col>
      <xdr:colOff>585556</xdr:colOff>
      <xdr:row>50</xdr:row>
      <xdr:rowOff>350607</xdr:rowOff>
    </xdr:to>
    <xdr:pic>
      <xdr:nvPicPr>
        <xdr:cNvPr id="44" name="Grafik 2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86023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51</xdr:row>
      <xdr:rowOff>68037</xdr:rowOff>
    </xdr:from>
    <xdr:to>
      <xdr:col>2</xdr:col>
      <xdr:colOff>674002</xdr:colOff>
      <xdr:row>51</xdr:row>
      <xdr:rowOff>356222</xdr:rowOff>
    </xdr:to>
    <xdr:pic>
      <xdr:nvPicPr>
        <xdr:cNvPr id="45" name="Grafik 12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506038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52</xdr:row>
      <xdr:rowOff>64635</xdr:rowOff>
    </xdr:from>
    <xdr:to>
      <xdr:col>2</xdr:col>
      <xdr:colOff>678307</xdr:colOff>
      <xdr:row>52</xdr:row>
      <xdr:rowOff>357187</xdr:rowOff>
    </xdr:to>
    <xdr:pic>
      <xdr:nvPicPr>
        <xdr:cNvPr id="46" name="Grafik 128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45703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53</xdr:row>
      <xdr:rowOff>64635</xdr:rowOff>
    </xdr:from>
    <xdr:to>
      <xdr:col>2</xdr:col>
      <xdr:colOff>498413</xdr:colOff>
      <xdr:row>53</xdr:row>
      <xdr:rowOff>360590</xdr:rowOff>
    </xdr:to>
    <xdr:pic>
      <xdr:nvPicPr>
        <xdr:cNvPr id="47" name="Grafik 25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85708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54</xdr:row>
      <xdr:rowOff>64635</xdr:rowOff>
    </xdr:from>
    <xdr:to>
      <xdr:col>2</xdr:col>
      <xdr:colOff>616688</xdr:colOff>
      <xdr:row>54</xdr:row>
      <xdr:rowOff>357188</xdr:rowOff>
    </xdr:to>
    <xdr:pic>
      <xdr:nvPicPr>
        <xdr:cNvPr id="48" name="Grafik 26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625713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55</xdr:row>
      <xdr:rowOff>64635</xdr:rowOff>
    </xdr:from>
    <xdr:to>
      <xdr:col>2</xdr:col>
      <xdr:colOff>699623</xdr:colOff>
      <xdr:row>55</xdr:row>
      <xdr:rowOff>350384</xdr:rowOff>
    </xdr:to>
    <xdr:pic>
      <xdr:nvPicPr>
        <xdr:cNvPr id="49" name="Grafik 27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65718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56</xdr:row>
      <xdr:rowOff>64635</xdr:rowOff>
    </xdr:from>
    <xdr:to>
      <xdr:col>2</xdr:col>
      <xdr:colOff>534565</xdr:colOff>
      <xdr:row>56</xdr:row>
      <xdr:rowOff>360590</xdr:rowOff>
    </xdr:to>
    <xdr:pic>
      <xdr:nvPicPr>
        <xdr:cNvPr id="50" name="Grafik 28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705723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57</xdr:row>
      <xdr:rowOff>66180</xdr:rowOff>
    </xdr:from>
    <xdr:to>
      <xdr:col>2</xdr:col>
      <xdr:colOff>534529</xdr:colOff>
      <xdr:row>57</xdr:row>
      <xdr:rowOff>360911</xdr:rowOff>
    </xdr:to>
    <xdr:pic>
      <xdr:nvPicPr>
        <xdr:cNvPr id="51" name="Grafik 29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45883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58</xdr:row>
      <xdr:rowOff>66181</xdr:rowOff>
    </xdr:from>
    <xdr:to>
      <xdr:col>2</xdr:col>
      <xdr:colOff>597462</xdr:colOff>
      <xdr:row>58</xdr:row>
      <xdr:rowOff>356492</xdr:rowOff>
    </xdr:to>
    <xdr:pic>
      <xdr:nvPicPr>
        <xdr:cNvPr id="52" name="Grafik 30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85888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59</xdr:row>
      <xdr:rowOff>66183</xdr:rowOff>
    </xdr:from>
    <xdr:to>
      <xdr:col>2</xdr:col>
      <xdr:colOff>588958</xdr:colOff>
      <xdr:row>59</xdr:row>
      <xdr:rowOff>361997</xdr:rowOff>
    </xdr:to>
    <xdr:pic>
      <xdr:nvPicPr>
        <xdr:cNvPr id="53" name="Grafik 6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825893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60</xdr:row>
      <xdr:rowOff>64635</xdr:rowOff>
    </xdr:from>
    <xdr:to>
      <xdr:col>2</xdr:col>
      <xdr:colOff>587257</xdr:colOff>
      <xdr:row>60</xdr:row>
      <xdr:rowOff>359256</xdr:rowOff>
    </xdr:to>
    <xdr:pic>
      <xdr:nvPicPr>
        <xdr:cNvPr id="54" name="Grafik 6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65743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61</xdr:row>
      <xdr:rowOff>64635</xdr:rowOff>
    </xdr:from>
    <xdr:to>
      <xdr:col>2</xdr:col>
      <xdr:colOff>599503</xdr:colOff>
      <xdr:row>61</xdr:row>
      <xdr:rowOff>359910</xdr:rowOff>
    </xdr:to>
    <xdr:pic>
      <xdr:nvPicPr>
        <xdr:cNvPr id="55" name="Grafik 135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905748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62</xdr:row>
      <xdr:rowOff>64635</xdr:rowOff>
    </xdr:from>
    <xdr:to>
      <xdr:col>2</xdr:col>
      <xdr:colOff>629329</xdr:colOff>
      <xdr:row>62</xdr:row>
      <xdr:rowOff>360590</xdr:rowOff>
    </xdr:to>
    <xdr:pic>
      <xdr:nvPicPr>
        <xdr:cNvPr id="56" name="Grafik 148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65</xdr:row>
      <xdr:rowOff>64635</xdr:rowOff>
    </xdr:from>
    <xdr:to>
      <xdr:col>2</xdr:col>
      <xdr:colOff>632223</xdr:colOff>
      <xdr:row>65</xdr:row>
      <xdr:rowOff>357187</xdr:rowOff>
    </xdr:to>
    <xdr:pic>
      <xdr:nvPicPr>
        <xdr:cNvPr id="57" name="Grafik 35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66</xdr:row>
      <xdr:rowOff>64635</xdr:rowOff>
    </xdr:from>
    <xdr:to>
      <xdr:col>2</xdr:col>
      <xdr:colOff>633569</xdr:colOff>
      <xdr:row>66</xdr:row>
      <xdr:rowOff>360589</xdr:rowOff>
    </xdr:to>
    <xdr:pic>
      <xdr:nvPicPr>
        <xdr:cNvPr id="58" name="Grafik 38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67</xdr:row>
      <xdr:rowOff>64635</xdr:rowOff>
    </xdr:from>
    <xdr:to>
      <xdr:col>2</xdr:col>
      <xdr:colOff>487754</xdr:colOff>
      <xdr:row>67</xdr:row>
      <xdr:rowOff>353786</xdr:rowOff>
    </xdr:to>
    <xdr:pic>
      <xdr:nvPicPr>
        <xdr:cNvPr id="59" name="Grafik 39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71</xdr:row>
      <xdr:rowOff>66180</xdr:rowOff>
    </xdr:from>
    <xdr:to>
      <xdr:col>2</xdr:col>
      <xdr:colOff>500728</xdr:colOff>
      <xdr:row>71</xdr:row>
      <xdr:rowOff>357188</xdr:rowOff>
    </xdr:to>
    <xdr:pic>
      <xdr:nvPicPr>
        <xdr:cNvPr id="61" name="Grafik 41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30595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72</xdr:row>
      <xdr:rowOff>66181</xdr:rowOff>
    </xdr:from>
    <xdr:to>
      <xdr:col>2</xdr:col>
      <xdr:colOff>500447</xdr:colOff>
      <xdr:row>72</xdr:row>
      <xdr:rowOff>353785</xdr:rowOff>
    </xdr:to>
    <xdr:pic>
      <xdr:nvPicPr>
        <xdr:cNvPr id="62" name="Grafik 42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34595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73</xdr:row>
      <xdr:rowOff>66183</xdr:rowOff>
    </xdr:from>
    <xdr:to>
      <xdr:col>2</xdr:col>
      <xdr:colOff>507412</xdr:colOff>
      <xdr:row>73</xdr:row>
      <xdr:rowOff>360591</xdr:rowOff>
    </xdr:to>
    <xdr:pic>
      <xdr:nvPicPr>
        <xdr:cNvPr id="63" name="Grafik 43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38596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74</xdr:row>
      <xdr:rowOff>64636</xdr:rowOff>
    </xdr:from>
    <xdr:to>
      <xdr:col>2</xdr:col>
      <xdr:colOff>474310</xdr:colOff>
      <xdr:row>74</xdr:row>
      <xdr:rowOff>360590</xdr:rowOff>
    </xdr:to>
    <xdr:pic>
      <xdr:nvPicPr>
        <xdr:cNvPr id="64" name="Grafik 44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42581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209234</xdr:colOff>
      <xdr:row>76</xdr:row>
      <xdr:rowOff>88731</xdr:rowOff>
    </xdr:from>
    <xdr:to>
      <xdr:col>2</xdr:col>
      <xdr:colOff>570673</xdr:colOff>
      <xdr:row>76</xdr:row>
      <xdr:rowOff>329690</xdr:rowOff>
    </xdr:to>
    <xdr:pic>
      <xdr:nvPicPr>
        <xdr:cNvPr id="65" name="Grafik 46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9116" y="24282231"/>
          <a:ext cx="361439" cy="24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77</xdr:row>
      <xdr:rowOff>64635</xdr:rowOff>
    </xdr:from>
    <xdr:to>
      <xdr:col>2</xdr:col>
      <xdr:colOff>497853</xdr:colOff>
      <xdr:row>77</xdr:row>
      <xdr:rowOff>353786</xdr:rowOff>
    </xdr:to>
    <xdr:pic>
      <xdr:nvPicPr>
        <xdr:cNvPr id="66" name="Grafik 47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505823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79</xdr:row>
      <xdr:rowOff>64635</xdr:rowOff>
    </xdr:from>
    <xdr:to>
      <xdr:col>2</xdr:col>
      <xdr:colOff>482327</xdr:colOff>
      <xdr:row>79</xdr:row>
      <xdr:rowOff>357187</xdr:rowOff>
    </xdr:to>
    <xdr:pic>
      <xdr:nvPicPr>
        <xdr:cNvPr id="67" name="Grafik 48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58583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80</xdr:row>
      <xdr:rowOff>64635</xdr:rowOff>
    </xdr:from>
    <xdr:to>
      <xdr:col>2</xdr:col>
      <xdr:colOff>585555</xdr:colOff>
      <xdr:row>80</xdr:row>
      <xdr:rowOff>358738</xdr:rowOff>
    </xdr:to>
    <xdr:pic>
      <xdr:nvPicPr>
        <xdr:cNvPr id="68" name="Grafik 19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62583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81</xdr:row>
      <xdr:rowOff>88449</xdr:rowOff>
    </xdr:from>
    <xdr:to>
      <xdr:col>2</xdr:col>
      <xdr:colOff>551878</xdr:colOff>
      <xdr:row>81</xdr:row>
      <xdr:rowOff>326574</xdr:rowOff>
    </xdr:to>
    <xdr:pic>
      <xdr:nvPicPr>
        <xdr:cNvPr id="69" name="Grafik 49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66822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82</xdr:row>
      <xdr:rowOff>64635</xdr:rowOff>
    </xdr:from>
    <xdr:to>
      <xdr:col>2</xdr:col>
      <xdr:colOff>476699</xdr:colOff>
      <xdr:row>82</xdr:row>
      <xdr:rowOff>360707</xdr:rowOff>
    </xdr:to>
    <xdr:pic>
      <xdr:nvPicPr>
        <xdr:cNvPr id="70" name="Grafik 50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70584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87</xdr:row>
      <xdr:rowOff>66182</xdr:rowOff>
    </xdr:from>
    <xdr:to>
      <xdr:col>2</xdr:col>
      <xdr:colOff>563444</xdr:colOff>
      <xdr:row>87</xdr:row>
      <xdr:rowOff>358338</xdr:rowOff>
    </xdr:to>
    <xdr:pic>
      <xdr:nvPicPr>
        <xdr:cNvPr id="72" name="Grafik 52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826018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88</xdr:row>
      <xdr:rowOff>64635</xdr:rowOff>
    </xdr:from>
    <xdr:to>
      <xdr:col>2</xdr:col>
      <xdr:colOff>551538</xdr:colOff>
      <xdr:row>88</xdr:row>
      <xdr:rowOff>361600</xdr:rowOff>
    </xdr:to>
    <xdr:pic>
      <xdr:nvPicPr>
        <xdr:cNvPr id="74" name="Grafik 54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905873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90</xdr:row>
      <xdr:rowOff>64634</xdr:rowOff>
    </xdr:from>
    <xdr:to>
      <xdr:col>2</xdr:col>
      <xdr:colOff>544574</xdr:colOff>
      <xdr:row>90</xdr:row>
      <xdr:rowOff>357188</xdr:rowOff>
    </xdr:to>
    <xdr:pic>
      <xdr:nvPicPr>
        <xdr:cNvPr id="75" name="Grafik 171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98588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94</xdr:row>
      <xdr:rowOff>64635</xdr:rowOff>
    </xdr:from>
    <xdr:to>
      <xdr:col>2</xdr:col>
      <xdr:colOff>640756</xdr:colOff>
      <xdr:row>94</xdr:row>
      <xdr:rowOff>360590</xdr:rowOff>
    </xdr:to>
    <xdr:pic>
      <xdr:nvPicPr>
        <xdr:cNvPr id="79" name="Grafik 5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314590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182880</xdr:colOff>
          <xdr:row>95</xdr:row>
          <xdr:rowOff>68580</xdr:rowOff>
        </xdr:from>
        <xdr:to>
          <xdr:col>2</xdr:col>
          <xdr:colOff>601980</xdr:colOff>
          <xdr:row>95</xdr:row>
          <xdr:rowOff>350520</xdr:rowOff>
        </xdr:to>
        <xdr:sp macro="" textlink="">
          <xdr:nvSpPr>
            <xdr:cNvPr id="72722" name="Object 18" hidden="1">
              <a:extLst>
                <a:ext uri="{63B3BB69-23CF-44E3-9099-C40C66FF867C}">
                  <a14:compatExt spid="_x0000_s72722"/>
                </a:ext>
                <a:ext uri="{FF2B5EF4-FFF2-40B4-BE49-F238E27FC236}">
                  <a16:creationId xmlns:a16="http://schemas.microsoft.com/office/drawing/2014/main" id="{00000000-0008-0000-0A00-00001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96</xdr:row>
      <xdr:rowOff>64635</xdr:rowOff>
    </xdr:from>
    <xdr:to>
      <xdr:col>2</xdr:col>
      <xdr:colOff>565761</xdr:colOff>
      <xdr:row>96</xdr:row>
      <xdr:rowOff>352901</xdr:rowOff>
    </xdr:to>
    <xdr:pic>
      <xdr:nvPicPr>
        <xdr:cNvPr id="81" name="Grafik 6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322591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97</xdr:row>
      <xdr:rowOff>64635</xdr:rowOff>
    </xdr:from>
    <xdr:to>
      <xdr:col>2</xdr:col>
      <xdr:colOff>585808</xdr:colOff>
      <xdr:row>97</xdr:row>
      <xdr:rowOff>350384</xdr:rowOff>
    </xdr:to>
    <xdr:pic>
      <xdr:nvPicPr>
        <xdr:cNvPr id="82" name="Grafik 6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26591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98</xdr:row>
      <xdr:rowOff>64635</xdr:rowOff>
    </xdr:from>
    <xdr:to>
      <xdr:col>2</xdr:col>
      <xdr:colOff>561743</xdr:colOff>
      <xdr:row>98</xdr:row>
      <xdr:rowOff>352408</xdr:rowOff>
    </xdr:to>
    <xdr:pic>
      <xdr:nvPicPr>
        <xdr:cNvPr id="83" name="Grafik 6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30592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101</xdr:row>
      <xdr:rowOff>64635</xdr:rowOff>
    </xdr:from>
    <xdr:to>
      <xdr:col>2</xdr:col>
      <xdr:colOff>677404</xdr:colOff>
      <xdr:row>101</xdr:row>
      <xdr:rowOff>352085</xdr:rowOff>
    </xdr:to>
    <xdr:pic>
      <xdr:nvPicPr>
        <xdr:cNvPr id="84" name="Grafik 6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34592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13</xdr:col>
          <xdr:colOff>0</xdr:colOff>
          <xdr:row>21</xdr:row>
          <xdr:rowOff>0</xdr:rowOff>
        </xdr:to>
        <xdr:sp macro="" textlink="">
          <xdr:nvSpPr>
            <xdr:cNvPr id="72723" name="Group Box 19" hidden="1">
              <a:extLst>
                <a:ext uri="{63B3BB69-23CF-44E3-9099-C40C66FF867C}">
                  <a14:compatExt spid="_x0000_s72723"/>
                </a:ext>
                <a:ext uri="{FF2B5EF4-FFF2-40B4-BE49-F238E27FC236}">
                  <a16:creationId xmlns:a16="http://schemas.microsoft.com/office/drawing/2014/main" id="{00000000-0008-0000-0A00-00001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19</xdr:row>
          <xdr:rowOff>7620</xdr:rowOff>
        </xdr:from>
        <xdr:to>
          <xdr:col>11</xdr:col>
          <xdr:colOff>502920</xdr:colOff>
          <xdr:row>19</xdr:row>
          <xdr:rowOff>182880</xdr:rowOff>
        </xdr:to>
        <xdr:sp macro="" textlink="">
          <xdr:nvSpPr>
            <xdr:cNvPr id="72724" name="Option Button 20" hidden="1">
              <a:extLst>
                <a:ext uri="{63B3BB69-23CF-44E3-9099-C40C66FF867C}">
                  <a14:compatExt spid="_x0000_s72724"/>
                </a:ext>
                <a:ext uri="{FF2B5EF4-FFF2-40B4-BE49-F238E27FC236}">
                  <a16:creationId xmlns:a16="http://schemas.microsoft.com/office/drawing/2014/main" id="{00000000-0008-0000-0A00-000014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0</xdr:rowOff>
        </xdr:from>
        <xdr:to>
          <xdr:col>13</xdr:col>
          <xdr:colOff>0</xdr:colOff>
          <xdr:row>17</xdr:row>
          <xdr:rowOff>0</xdr:rowOff>
        </xdr:to>
        <xdr:sp macro="" textlink="">
          <xdr:nvSpPr>
            <xdr:cNvPr id="72725" name="Group Box 21" hidden="1">
              <a:extLst>
                <a:ext uri="{63B3BB69-23CF-44E3-9099-C40C66FF867C}">
                  <a14:compatExt spid="_x0000_s72725"/>
                </a:ext>
                <a:ext uri="{FF2B5EF4-FFF2-40B4-BE49-F238E27FC236}">
                  <a16:creationId xmlns:a16="http://schemas.microsoft.com/office/drawing/2014/main" id="{00000000-0008-0000-0A00-00001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15</xdr:row>
          <xdr:rowOff>7620</xdr:rowOff>
        </xdr:from>
        <xdr:to>
          <xdr:col>11</xdr:col>
          <xdr:colOff>525780</xdr:colOff>
          <xdr:row>15</xdr:row>
          <xdr:rowOff>182880</xdr:rowOff>
        </xdr:to>
        <xdr:sp macro="" textlink="">
          <xdr:nvSpPr>
            <xdr:cNvPr id="72726" name="Option Button 22" hidden="1">
              <a:extLst>
                <a:ext uri="{63B3BB69-23CF-44E3-9099-C40C66FF867C}">
                  <a14:compatExt spid="_x0000_s72726"/>
                </a:ext>
                <a:ext uri="{FF2B5EF4-FFF2-40B4-BE49-F238E27FC236}">
                  <a16:creationId xmlns:a16="http://schemas.microsoft.com/office/drawing/2014/main" id="{00000000-0008-0000-0A00-00001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20</xdr:row>
          <xdr:rowOff>7620</xdr:rowOff>
        </xdr:from>
        <xdr:to>
          <xdr:col>11</xdr:col>
          <xdr:colOff>502920</xdr:colOff>
          <xdr:row>20</xdr:row>
          <xdr:rowOff>182880</xdr:rowOff>
        </xdr:to>
        <xdr:sp macro="" textlink="">
          <xdr:nvSpPr>
            <xdr:cNvPr id="72727" name="Option Button 23" hidden="1">
              <a:extLst>
                <a:ext uri="{63B3BB69-23CF-44E3-9099-C40C66FF867C}">
                  <a14:compatExt spid="_x0000_s72727"/>
                </a:ext>
                <a:ext uri="{FF2B5EF4-FFF2-40B4-BE49-F238E27FC236}">
                  <a16:creationId xmlns:a16="http://schemas.microsoft.com/office/drawing/2014/main" id="{00000000-0008-0000-0A00-00001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16</xdr:row>
          <xdr:rowOff>7620</xdr:rowOff>
        </xdr:from>
        <xdr:to>
          <xdr:col>11</xdr:col>
          <xdr:colOff>525780</xdr:colOff>
          <xdr:row>16</xdr:row>
          <xdr:rowOff>182880</xdr:rowOff>
        </xdr:to>
        <xdr:sp macro="" textlink="">
          <xdr:nvSpPr>
            <xdr:cNvPr id="72728" name="Option Button 24" hidden="1">
              <a:extLst>
                <a:ext uri="{63B3BB69-23CF-44E3-9099-C40C66FF867C}">
                  <a14:compatExt spid="_x0000_s72728"/>
                </a:ext>
                <a:ext uri="{FF2B5EF4-FFF2-40B4-BE49-F238E27FC236}">
                  <a16:creationId xmlns:a16="http://schemas.microsoft.com/office/drawing/2014/main" id="{00000000-0008-0000-0A00-00001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19</xdr:row>
          <xdr:rowOff>7620</xdr:rowOff>
        </xdr:from>
        <xdr:to>
          <xdr:col>12</xdr:col>
          <xdr:colOff>342900</xdr:colOff>
          <xdr:row>19</xdr:row>
          <xdr:rowOff>182880</xdr:rowOff>
        </xdr:to>
        <xdr:sp macro="" textlink="">
          <xdr:nvSpPr>
            <xdr:cNvPr id="72729" name="Option Button 25" hidden="1">
              <a:extLst>
                <a:ext uri="{63B3BB69-23CF-44E3-9099-C40C66FF867C}">
                  <a14:compatExt spid="_x0000_s72729"/>
                </a:ext>
                <a:ext uri="{FF2B5EF4-FFF2-40B4-BE49-F238E27FC236}">
                  <a16:creationId xmlns:a16="http://schemas.microsoft.com/office/drawing/2014/main" id="{00000000-0008-0000-0A00-00001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15</xdr:row>
          <xdr:rowOff>7620</xdr:rowOff>
        </xdr:from>
        <xdr:to>
          <xdr:col>12</xdr:col>
          <xdr:colOff>350520</xdr:colOff>
          <xdr:row>15</xdr:row>
          <xdr:rowOff>182880</xdr:rowOff>
        </xdr:to>
        <xdr:sp macro="" textlink="">
          <xdr:nvSpPr>
            <xdr:cNvPr id="72730" name="Option Button 26" hidden="1">
              <a:extLst>
                <a:ext uri="{63B3BB69-23CF-44E3-9099-C40C66FF867C}">
                  <a14:compatExt spid="_x0000_s72730"/>
                </a:ext>
                <a:ext uri="{FF2B5EF4-FFF2-40B4-BE49-F238E27FC236}">
                  <a16:creationId xmlns:a16="http://schemas.microsoft.com/office/drawing/2014/main" id="{00000000-0008-0000-0A00-00001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20</xdr:row>
          <xdr:rowOff>0</xdr:rowOff>
        </xdr:from>
        <xdr:to>
          <xdr:col>12</xdr:col>
          <xdr:colOff>342900</xdr:colOff>
          <xdr:row>20</xdr:row>
          <xdr:rowOff>182880</xdr:rowOff>
        </xdr:to>
        <xdr:sp macro="" textlink="">
          <xdr:nvSpPr>
            <xdr:cNvPr id="72731" name="Option Button 27" hidden="1">
              <a:extLst>
                <a:ext uri="{63B3BB69-23CF-44E3-9099-C40C66FF867C}">
                  <a14:compatExt spid="_x0000_s72731"/>
                </a:ext>
                <a:ext uri="{FF2B5EF4-FFF2-40B4-BE49-F238E27FC236}">
                  <a16:creationId xmlns:a16="http://schemas.microsoft.com/office/drawing/2014/main" id="{00000000-0008-0000-0A00-00001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792480</xdr:colOff>
          <xdr:row>16</xdr:row>
          <xdr:rowOff>0</xdr:rowOff>
        </xdr:from>
        <xdr:to>
          <xdr:col>12</xdr:col>
          <xdr:colOff>350520</xdr:colOff>
          <xdr:row>16</xdr:row>
          <xdr:rowOff>182880</xdr:rowOff>
        </xdr:to>
        <xdr:sp macro="" textlink="">
          <xdr:nvSpPr>
            <xdr:cNvPr id="72732" name="Option Button 28" hidden="1">
              <a:extLst>
                <a:ext uri="{63B3BB69-23CF-44E3-9099-C40C66FF867C}">
                  <a14:compatExt spid="_x0000_s72732"/>
                </a:ext>
                <a:ext uri="{FF2B5EF4-FFF2-40B4-BE49-F238E27FC236}">
                  <a16:creationId xmlns:a16="http://schemas.microsoft.com/office/drawing/2014/main" id="{00000000-0008-0000-0A00-00001C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44</xdr:row>
      <xdr:rowOff>70450</xdr:rowOff>
    </xdr:from>
    <xdr:to>
      <xdr:col>2</xdr:col>
      <xdr:colOff>645534</xdr:colOff>
      <xdr:row>44</xdr:row>
      <xdr:rowOff>332836</xdr:rowOff>
    </xdr:to>
    <xdr:pic>
      <xdr:nvPicPr>
        <xdr:cNvPr id="100" name="Grafik 3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118624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342900</xdr:colOff>
          <xdr:row>12</xdr:row>
          <xdr:rowOff>182880</xdr:rowOff>
        </xdr:to>
        <xdr:sp macro="" textlink="">
          <xdr:nvSpPr>
            <xdr:cNvPr id="72735" name="Option Button 31" hidden="1">
              <a:extLst>
                <a:ext uri="{63B3BB69-23CF-44E3-9099-C40C66FF867C}">
                  <a14:compatExt spid="_x0000_s72735"/>
                </a:ext>
                <a:ext uri="{FF2B5EF4-FFF2-40B4-BE49-F238E27FC236}">
                  <a16:creationId xmlns:a16="http://schemas.microsoft.com/office/drawing/2014/main" id="{00000000-0008-0000-0A00-00001F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72736" name="Option Button 32" hidden="1">
              <a:extLst>
                <a:ext uri="{63B3BB69-23CF-44E3-9099-C40C66FF867C}">
                  <a14:compatExt spid="_x0000_s72736"/>
                </a:ext>
                <a:ext uri="{FF2B5EF4-FFF2-40B4-BE49-F238E27FC236}">
                  <a16:creationId xmlns:a16="http://schemas.microsoft.com/office/drawing/2014/main" id="{00000000-0008-0000-0A00-000020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291831</xdr:colOff>
      <xdr:row>78</xdr:row>
      <xdr:rowOff>32426</xdr:rowOff>
    </xdr:from>
    <xdr:to>
      <xdr:col>2</xdr:col>
      <xdr:colOff>507607</xdr:colOff>
      <xdr:row>78</xdr:row>
      <xdr:rowOff>364769</xdr:rowOff>
    </xdr:to>
    <xdr:pic>
      <xdr:nvPicPr>
        <xdr:cNvPr id="103" name="Grafik 48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8" r="28359"/>
        <a:stretch/>
      </xdr:blipFill>
      <xdr:spPr bwMode="auto">
        <a:xfrm>
          <a:off x="1587231" y="25426076"/>
          <a:ext cx="215776" cy="332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255804</xdr:colOff>
      <xdr:row>89</xdr:row>
      <xdr:rowOff>36047</xdr:rowOff>
    </xdr:from>
    <xdr:to>
      <xdr:col>2</xdr:col>
      <xdr:colOff>551268</xdr:colOff>
      <xdr:row>89</xdr:row>
      <xdr:rowOff>368011</xdr:rowOff>
    </xdr:to>
    <xdr:pic>
      <xdr:nvPicPr>
        <xdr:cNvPr id="104" name="Grafik 54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82" t="14686" r="13469" b="1"/>
        <a:stretch/>
      </xdr:blipFill>
      <xdr:spPr bwMode="auto">
        <a:xfrm>
          <a:off x="1551204" y="29430197"/>
          <a:ext cx="295464" cy="33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63</xdr:row>
      <xdr:rowOff>64635</xdr:rowOff>
    </xdr:from>
    <xdr:to>
      <xdr:col>2</xdr:col>
      <xdr:colOff>629329</xdr:colOff>
      <xdr:row>63</xdr:row>
      <xdr:rowOff>360590</xdr:rowOff>
    </xdr:to>
    <xdr:pic>
      <xdr:nvPicPr>
        <xdr:cNvPr id="105" name="Grafik 148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64</xdr:row>
      <xdr:rowOff>30307</xdr:rowOff>
    </xdr:from>
    <xdr:to>
      <xdr:col>2</xdr:col>
      <xdr:colOff>644695</xdr:colOff>
      <xdr:row>64</xdr:row>
      <xdr:rowOff>355023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xdr:twoCellAnchor>
    <xdr:from>
      <xdr:col>2</xdr:col>
      <xdr:colOff>181573</xdr:colOff>
      <xdr:row>69</xdr:row>
      <xdr:rowOff>33138</xdr:rowOff>
    </xdr:from>
    <xdr:to>
      <xdr:col>2</xdr:col>
      <xdr:colOff>559149</xdr:colOff>
      <xdr:row>69</xdr:row>
      <xdr:rowOff>376670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76973" y="22226388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228108</xdr:colOff>
      <xdr:row>70</xdr:row>
      <xdr:rowOff>38965</xdr:rowOff>
    </xdr:from>
    <xdr:to>
      <xdr:col>2</xdr:col>
      <xdr:colOff>559068</xdr:colOff>
      <xdr:row>70</xdr:row>
      <xdr:rowOff>372341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23508" y="22632265"/>
          <a:ext cx="330960" cy="333376"/>
        </a:xfrm>
        <a:prstGeom prst="rect">
          <a:avLst/>
        </a:prstGeom>
      </xdr:spPr>
    </xdr:pic>
    <xdr:clientData/>
  </xdr:twoCellAnchor>
  <xdr:twoCellAnchor>
    <xdr:from>
      <xdr:col>2</xdr:col>
      <xdr:colOff>287092</xdr:colOff>
      <xdr:row>85</xdr:row>
      <xdr:rowOff>11414</xdr:rowOff>
    </xdr:from>
    <xdr:to>
      <xdr:col>2</xdr:col>
      <xdr:colOff>525888</xdr:colOff>
      <xdr:row>85</xdr:row>
      <xdr:rowOff>388310</xdr:rowOff>
    </xdr:to>
    <xdr:pic>
      <xdr:nvPicPr>
        <xdr:cNvPr id="109" name="Grafik 52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4" r="22423" b="8872"/>
        <a:stretch/>
      </xdr:blipFill>
      <xdr:spPr bwMode="auto">
        <a:xfrm>
          <a:off x="1582492" y="27805364"/>
          <a:ext cx="238796" cy="376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105</xdr:row>
      <xdr:rowOff>21479</xdr:rowOff>
    </xdr:from>
    <xdr:to>
      <xdr:col>2</xdr:col>
      <xdr:colOff>655545</xdr:colOff>
      <xdr:row>105</xdr:row>
      <xdr:rowOff>372597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4268" y="34616279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164124</xdr:colOff>
      <xdr:row>106</xdr:row>
      <xdr:rowOff>17586</xdr:rowOff>
    </xdr:from>
    <xdr:to>
      <xdr:col>2</xdr:col>
      <xdr:colOff>630222</xdr:colOff>
      <xdr:row>106</xdr:row>
      <xdr:rowOff>386862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59524" y="35012436"/>
          <a:ext cx="466098" cy="369276"/>
        </a:xfrm>
        <a:prstGeom prst="rect">
          <a:avLst/>
        </a:prstGeom>
      </xdr:spPr>
    </xdr:pic>
    <xdr:clientData/>
  </xdr:twoCellAnchor>
  <xdr:twoCellAnchor>
    <xdr:from>
      <xdr:col>2</xdr:col>
      <xdr:colOff>158124</xdr:colOff>
      <xdr:row>39</xdr:row>
      <xdr:rowOff>79243</xdr:rowOff>
    </xdr:from>
    <xdr:to>
      <xdr:col>2</xdr:col>
      <xdr:colOff>579324</xdr:colOff>
      <xdr:row>39</xdr:row>
      <xdr:rowOff>360043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06" y="8382802"/>
          <a:ext cx="421200" cy="280800"/>
        </a:xfrm>
        <a:prstGeom prst="rect">
          <a:avLst/>
        </a:prstGeom>
      </xdr:spPr>
    </xdr:pic>
    <xdr:clientData/>
  </xdr:twoCellAnchor>
  <xdr:twoCellAnchor>
    <xdr:from>
      <xdr:col>2</xdr:col>
      <xdr:colOff>302560</xdr:colOff>
      <xdr:row>75</xdr:row>
      <xdr:rowOff>67235</xdr:rowOff>
    </xdr:from>
    <xdr:to>
      <xdr:col>2</xdr:col>
      <xdr:colOff>437728</xdr:colOff>
      <xdr:row>75</xdr:row>
      <xdr:rowOff>362435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5" r="35049"/>
        <a:stretch/>
      </xdr:blipFill>
      <xdr:spPr>
        <a:xfrm>
          <a:off x="1602442" y="22490206"/>
          <a:ext cx="135168" cy="295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72741" name="Group Box 37" hidden="1">
              <a:extLst>
                <a:ext uri="{63B3BB69-23CF-44E3-9099-C40C66FF867C}">
                  <a14:compatExt spid="_x0000_s72741"/>
                </a:ext>
                <a:ext uri="{FF2B5EF4-FFF2-40B4-BE49-F238E27FC236}">
                  <a16:creationId xmlns:a16="http://schemas.microsoft.com/office/drawing/2014/main" id="{00000000-0008-0000-0A00-000025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72742" name="Option Button 38" hidden="1">
              <a:extLst>
                <a:ext uri="{63B3BB69-23CF-44E3-9099-C40C66FF867C}">
                  <a14:compatExt spid="_x0000_s72742"/>
                </a:ext>
                <a:ext uri="{FF2B5EF4-FFF2-40B4-BE49-F238E27FC236}">
                  <a16:creationId xmlns:a16="http://schemas.microsoft.com/office/drawing/2014/main" id="{00000000-0008-0000-0A00-000026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72743" name="Option Button 39" hidden="1">
              <a:extLst>
                <a:ext uri="{63B3BB69-23CF-44E3-9099-C40C66FF867C}">
                  <a14:compatExt spid="_x0000_s72743"/>
                </a:ext>
                <a:ext uri="{FF2B5EF4-FFF2-40B4-BE49-F238E27FC236}">
                  <a16:creationId xmlns:a16="http://schemas.microsoft.com/office/drawing/2014/main" id="{00000000-0008-0000-0A00-000027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137541</xdr:colOff>
      <xdr:row>91</xdr:row>
      <xdr:rowOff>125867</xdr:rowOff>
    </xdr:from>
    <xdr:to>
      <xdr:col>2</xdr:col>
      <xdr:colOff>642366</xdr:colOff>
      <xdr:row>91</xdr:row>
      <xdr:rowOff>278267</xdr:rowOff>
    </xdr:to>
    <xdr:pic>
      <xdr:nvPicPr>
        <xdr:cNvPr id="96" name="Grafik 166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191079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92</xdr:row>
      <xdr:rowOff>64635</xdr:rowOff>
    </xdr:from>
    <xdr:to>
      <xdr:col>2</xdr:col>
      <xdr:colOff>689991</xdr:colOff>
      <xdr:row>92</xdr:row>
      <xdr:rowOff>340860</xdr:rowOff>
    </xdr:to>
    <xdr:pic>
      <xdr:nvPicPr>
        <xdr:cNvPr id="97" name="Grafik 5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32249610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93</xdr:row>
      <xdr:rowOff>64636</xdr:rowOff>
    </xdr:from>
    <xdr:to>
      <xdr:col>2</xdr:col>
      <xdr:colOff>592359</xdr:colOff>
      <xdr:row>93</xdr:row>
      <xdr:rowOff>361498</xdr:rowOff>
    </xdr:to>
    <xdr:pic>
      <xdr:nvPicPr>
        <xdr:cNvPr id="98" name="Grafik 5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264966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126214</xdr:rowOff>
    </xdr:to>
    <xdr:pic>
      <xdr:nvPicPr>
        <xdr:cNvPr id="101" name="Grafik 4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5202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857250</xdr:colOff>
      <xdr:row>0</xdr:row>
      <xdr:rowOff>66675</xdr:rowOff>
    </xdr:from>
    <xdr:to>
      <xdr:col>7</xdr:col>
      <xdr:colOff>490431</xdr:colOff>
      <xdr:row>5</xdr:row>
      <xdr:rowOff>9525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66675"/>
          <a:ext cx="1909656" cy="127635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31</xdr:row>
      <xdr:rowOff>67235</xdr:rowOff>
    </xdr:from>
    <xdr:to>
      <xdr:col>2</xdr:col>
      <xdr:colOff>545522</xdr:colOff>
      <xdr:row>31</xdr:row>
      <xdr:rowOff>367531</xdr:rowOff>
    </xdr:to>
    <xdr:pic>
      <xdr:nvPicPr>
        <xdr:cNvPr id="99" name="Grafik 7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490382" y="6914029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145676</xdr:colOff>
      <xdr:row>47</xdr:row>
      <xdr:rowOff>78441</xdr:rowOff>
    </xdr:from>
    <xdr:to>
      <xdr:col>2</xdr:col>
      <xdr:colOff>499872</xdr:colOff>
      <xdr:row>47</xdr:row>
      <xdr:rowOff>359242</xdr:rowOff>
    </xdr:to>
    <xdr:pic>
      <xdr:nvPicPr>
        <xdr:cNvPr id="112" name="Grafik 20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445558" y="1337982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72744" name="Option Button 40" hidden="1">
              <a:extLst>
                <a:ext uri="{63B3BB69-23CF-44E3-9099-C40C66FF867C}">
                  <a14:compatExt spid="_x0000_s72744"/>
                </a:ext>
                <a:ext uri="{FF2B5EF4-FFF2-40B4-BE49-F238E27FC236}">
                  <a16:creationId xmlns:a16="http://schemas.microsoft.com/office/drawing/2014/main" id="{00000000-0008-0000-0A00-000028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72745" name="Option Button 41" hidden="1">
              <a:extLst>
                <a:ext uri="{63B3BB69-23CF-44E3-9099-C40C66FF867C}">
                  <a14:compatExt spid="_x0000_s72745"/>
                </a:ext>
                <a:ext uri="{FF2B5EF4-FFF2-40B4-BE49-F238E27FC236}">
                  <a16:creationId xmlns:a16="http://schemas.microsoft.com/office/drawing/2014/main" id="{00000000-0008-0000-0A00-000029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182880</xdr:colOff>
          <xdr:row>21</xdr:row>
          <xdr:rowOff>0</xdr:rowOff>
        </xdr:to>
        <xdr:sp macro="" textlink="">
          <xdr:nvSpPr>
            <xdr:cNvPr id="72746" name="Option Button 42" hidden="1">
              <a:extLst>
                <a:ext uri="{63B3BB69-23CF-44E3-9099-C40C66FF867C}">
                  <a14:compatExt spid="_x0000_s72746"/>
                </a:ext>
                <a:ext uri="{FF2B5EF4-FFF2-40B4-BE49-F238E27FC236}">
                  <a16:creationId xmlns:a16="http://schemas.microsoft.com/office/drawing/2014/main" id="{00000000-0008-0000-0A00-00002A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21</xdr:row>
          <xdr:rowOff>30480</xdr:rowOff>
        </xdr:from>
        <xdr:to>
          <xdr:col>7</xdr:col>
          <xdr:colOff>182880</xdr:colOff>
          <xdr:row>22</xdr:row>
          <xdr:rowOff>0</xdr:rowOff>
        </xdr:to>
        <xdr:sp macro="" textlink="">
          <xdr:nvSpPr>
            <xdr:cNvPr id="72747" name="Option Button 43" hidden="1">
              <a:extLst>
                <a:ext uri="{63B3BB69-23CF-44E3-9099-C40C66FF867C}">
                  <a14:compatExt spid="_x0000_s72747"/>
                </a:ext>
                <a:ext uri="{FF2B5EF4-FFF2-40B4-BE49-F238E27FC236}">
                  <a16:creationId xmlns:a16="http://schemas.microsoft.com/office/drawing/2014/main" id="{00000000-0008-0000-0A00-00002B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180975</xdr:colOff>
      <xdr:row>86</xdr:row>
      <xdr:rowOff>28575</xdr:rowOff>
    </xdr:from>
    <xdr:to>
      <xdr:col>2</xdr:col>
      <xdr:colOff>541378</xdr:colOff>
      <xdr:row>86</xdr:row>
      <xdr:rowOff>388978</xdr:rowOff>
    </xdr:to>
    <xdr:pic>
      <xdr:nvPicPr>
        <xdr:cNvPr id="113" name="Grafik 5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375" y="28460700"/>
          <a:ext cx="360403" cy="3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68</xdr:row>
      <xdr:rowOff>47625</xdr:rowOff>
    </xdr:from>
    <xdr:to>
      <xdr:col>2</xdr:col>
      <xdr:colOff>533363</xdr:colOff>
      <xdr:row>68</xdr:row>
      <xdr:rowOff>361911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533525" y="23431500"/>
          <a:ext cx="295238" cy="314286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84</xdr:row>
      <xdr:rowOff>19050</xdr:rowOff>
    </xdr:from>
    <xdr:to>
      <xdr:col>2</xdr:col>
      <xdr:colOff>581025</xdr:colOff>
      <xdr:row>84</xdr:row>
      <xdr:rowOff>394002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980372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83</xdr:row>
      <xdr:rowOff>19050</xdr:rowOff>
    </xdr:from>
    <xdr:to>
      <xdr:col>2</xdr:col>
      <xdr:colOff>581025</xdr:colOff>
      <xdr:row>83</xdr:row>
      <xdr:rowOff>394002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95425" y="27651075"/>
          <a:ext cx="381000" cy="374952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102</xdr:row>
      <xdr:rowOff>27877</xdr:rowOff>
    </xdr:from>
    <xdr:to>
      <xdr:col>2</xdr:col>
      <xdr:colOff>678364</xdr:colOff>
      <xdr:row>102</xdr:row>
      <xdr:rowOff>373656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104</xdr:row>
      <xdr:rowOff>18316</xdr:rowOff>
    </xdr:from>
    <xdr:to>
      <xdr:col>2</xdr:col>
      <xdr:colOff>532488</xdr:colOff>
      <xdr:row>104</xdr:row>
      <xdr:rowOff>373673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103</xdr:row>
      <xdr:rowOff>19366</xdr:rowOff>
    </xdr:from>
    <xdr:to>
      <xdr:col>2</xdr:col>
      <xdr:colOff>471118</xdr:colOff>
      <xdr:row>103</xdr:row>
      <xdr:rowOff>391991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19980" y="352523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99</xdr:row>
      <xdr:rowOff>19050</xdr:rowOff>
    </xdr:from>
    <xdr:to>
      <xdr:col>2</xdr:col>
      <xdr:colOff>428625</xdr:colOff>
      <xdr:row>99</xdr:row>
      <xdr:rowOff>381000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100</xdr:row>
      <xdr:rowOff>120153</xdr:rowOff>
    </xdr:from>
    <xdr:to>
      <xdr:col>2</xdr:col>
      <xdr:colOff>585430</xdr:colOff>
      <xdr:row>100</xdr:row>
      <xdr:rowOff>295579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1</xdr:row>
      <xdr:rowOff>0</xdr:rowOff>
    </xdr:from>
    <xdr:to>
      <xdr:col>4</xdr:col>
      <xdr:colOff>563908</xdr:colOff>
      <xdr:row>3</xdr:row>
      <xdr:rowOff>133348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647825" y="352425"/>
          <a:ext cx="1706908" cy="6762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58369" name="Group Box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B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419100</xdr:colOff>
          <xdr:row>21</xdr:row>
          <xdr:rowOff>38100</xdr:rowOff>
        </xdr:to>
        <xdr:sp macro="" textlink="">
          <xdr:nvSpPr>
            <xdr:cNvPr id="58371" name="Group Box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B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419100</xdr:colOff>
          <xdr:row>13</xdr:row>
          <xdr:rowOff>0</xdr:rowOff>
        </xdr:to>
        <xdr:sp macro="" textlink="">
          <xdr:nvSpPr>
            <xdr:cNvPr id="58377" name="Group Box 9" hidden="1">
              <a:extLst>
                <a:ext uri="{63B3BB69-23CF-44E3-9099-C40C66FF867C}">
                  <a14:compatExt spid="_x0000_s58377"/>
                </a:ext>
                <a:ext uri="{FF2B5EF4-FFF2-40B4-BE49-F238E27FC236}">
                  <a16:creationId xmlns:a16="http://schemas.microsoft.com/office/drawing/2014/main" id="{00000000-0008-0000-0B00-00000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8383" name="Option Button 15" hidden="1">
              <a:extLst>
                <a:ext uri="{63B3BB69-23CF-44E3-9099-C40C66FF867C}">
                  <a14:compatExt spid="_x0000_s58383"/>
                </a:ext>
                <a:ext uri="{FF2B5EF4-FFF2-40B4-BE49-F238E27FC236}">
                  <a16:creationId xmlns:a16="http://schemas.microsoft.com/office/drawing/2014/main" id="{00000000-0008-0000-0B00-00000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58385" name="Option Button 17" hidden="1">
              <a:extLst>
                <a:ext uri="{63B3BB69-23CF-44E3-9099-C40C66FF867C}">
                  <a14:compatExt spid="_x0000_s58385"/>
                </a:ext>
                <a:ext uri="{FF2B5EF4-FFF2-40B4-BE49-F238E27FC236}">
                  <a16:creationId xmlns:a16="http://schemas.microsoft.com/office/drawing/2014/main" id="{00000000-0008-0000-0B00-00001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58386" name="Option Button 18" hidden="1">
              <a:extLst>
                <a:ext uri="{63B3BB69-23CF-44E3-9099-C40C66FF867C}">
                  <a14:compatExt spid="_x0000_s58386"/>
                </a:ext>
                <a:ext uri="{FF2B5EF4-FFF2-40B4-BE49-F238E27FC236}">
                  <a16:creationId xmlns:a16="http://schemas.microsoft.com/office/drawing/2014/main" id="{00000000-0008-0000-0B00-00001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297180</xdr:colOff>
          <xdr:row>17</xdr:row>
          <xdr:rowOff>0</xdr:rowOff>
        </xdr:from>
        <xdr:to>
          <xdr:col>12</xdr:col>
          <xdr:colOff>342900</xdr:colOff>
          <xdr:row>17</xdr:row>
          <xdr:rowOff>152400</xdr:rowOff>
        </xdr:to>
        <xdr:sp macro="" textlink="">
          <xdr:nvSpPr>
            <xdr:cNvPr id="58387" name="Option Button 19" hidden="1">
              <a:extLst>
                <a:ext uri="{63B3BB69-23CF-44E3-9099-C40C66FF867C}">
                  <a14:compatExt spid="_x0000_s58387"/>
                </a:ext>
                <a:ext uri="{FF2B5EF4-FFF2-40B4-BE49-F238E27FC236}">
                  <a16:creationId xmlns:a16="http://schemas.microsoft.com/office/drawing/2014/main" id="{00000000-0008-0000-0B00-00001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17</xdr:row>
          <xdr:rowOff>152400</xdr:rowOff>
        </xdr:from>
        <xdr:to>
          <xdr:col>12</xdr:col>
          <xdr:colOff>335280</xdr:colOff>
          <xdr:row>18</xdr:row>
          <xdr:rowOff>114300</xdr:rowOff>
        </xdr:to>
        <xdr:sp macro="" textlink="">
          <xdr:nvSpPr>
            <xdr:cNvPr id="58388" name="Option Button 20" hidden="1">
              <a:extLst>
                <a:ext uri="{63B3BB69-23CF-44E3-9099-C40C66FF867C}">
                  <a14:compatExt spid="_x0000_s58388"/>
                </a:ext>
                <a:ext uri="{FF2B5EF4-FFF2-40B4-BE49-F238E27FC236}">
                  <a16:creationId xmlns:a16="http://schemas.microsoft.com/office/drawing/2014/main" id="{00000000-0008-0000-0B00-00001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18</xdr:row>
          <xdr:rowOff>152400</xdr:rowOff>
        </xdr:from>
        <xdr:to>
          <xdr:col>12</xdr:col>
          <xdr:colOff>335280</xdr:colOff>
          <xdr:row>19</xdr:row>
          <xdr:rowOff>114300</xdr:rowOff>
        </xdr:to>
        <xdr:sp macro="" textlink="">
          <xdr:nvSpPr>
            <xdr:cNvPr id="58389" name="Option Button 21" hidden="1">
              <a:extLst>
                <a:ext uri="{63B3BB69-23CF-44E3-9099-C40C66FF867C}">
                  <a14:compatExt spid="_x0000_s58389"/>
                </a:ext>
                <a:ext uri="{FF2B5EF4-FFF2-40B4-BE49-F238E27FC236}">
                  <a16:creationId xmlns:a16="http://schemas.microsoft.com/office/drawing/2014/main" id="{00000000-0008-0000-0B00-00001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289560</xdr:colOff>
          <xdr:row>19</xdr:row>
          <xdr:rowOff>152400</xdr:rowOff>
        </xdr:from>
        <xdr:to>
          <xdr:col>12</xdr:col>
          <xdr:colOff>335280</xdr:colOff>
          <xdr:row>20</xdr:row>
          <xdr:rowOff>114300</xdr:rowOff>
        </xdr:to>
        <xdr:sp macro="" textlink="">
          <xdr:nvSpPr>
            <xdr:cNvPr id="58390" name="Option Button 22" hidden="1">
              <a:extLst>
                <a:ext uri="{63B3BB69-23CF-44E3-9099-C40C66FF867C}">
                  <a14:compatExt spid="_x0000_s58390"/>
                </a:ext>
                <a:ext uri="{FF2B5EF4-FFF2-40B4-BE49-F238E27FC236}">
                  <a16:creationId xmlns:a16="http://schemas.microsoft.com/office/drawing/2014/main" id="{00000000-0008-0000-0B00-00001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160020</xdr:colOff>
          <xdr:row>18</xdr:row>
          <xdr:rowOff>0</xdr:rowOff>
        </xdr:to>
        <xdr:sp macro="" textlink="">
          <xdr:nvSpPr>
            <xdr:cNvPr id="58391" name="Option Button 23" hidden="1">
              <a:extLst>
                <a:ext uri="{63B3BB69-23CF-44E3-9099-C40C66FF867C}">
                  <a14:compatExt spid="_x0000_s58391"/>
                </a:ext>
                <a:ext uri="{FF2B5EF4-FFF2-40B4-BE49-F238E27FC236}">
                  <a16:creationId xmlns:a16="http://schemas.microsoft.com/office/drawing/2014/main" id="{00000000-0008-0000-0B00-00001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14</xdr:row>
          <xdr:rowOff>45720</xdr:rowOff>
        </xdr:from>
        <xdr:to>
          <xdr:col>12</xdr:col>
          <xdr:colOff>350520</xdr:colOff>
          <xdr:row>15</xdr:row>
          <xdr:rowOff>7620</xdr:rowOff>
        </xdr:to>
        <xdr:sp macro="" textlink="">
          <xdr:nvSpPr>
            <xdr:cNvPr id="58392" name="Option Button 24" hidden="1">
              <a:extLst>
                <a:ext uri="{63B3BB69-23CF-44E3-9099-C40C66FF867C}">
                  <a14:compatExt spid="_x0000_s58392"/>
                </a:ext>
                <a:ext uri="{FF2B5EF4-FFF2-40B4-BE49-F238E27FC236}">
                  <a16:creationId xmlns:a16="http://schemas.microsoft.com/office/drawing/2014/main" id="{00000000-0008-0000-0B00-00001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15</xdr:row>
          <xdr:rowOff>45720</xdr:rowOff>
        </xdr:from>
        <xdr:to>
          <xdr:col>12</xdr:col>
          <xdr:colOff>350520</xdr:colOff>
          <xdr:row>16</xdr:row>
          <xdr:rowOff>7620</xdr:rowOff>
        </xdr:to>
        <xdr:sp macro="" textlink="">
          <xdr:nvSpPr>
            <xdr:cNvPr id="58393" name="Option Button 25" hidden="1">
              <a:extLst>
                <a:ext uri="{63B3BB69-23CF-44E3-9099-C40C66FF867C}">
                  <a14:compatExt spid="_x0000_s58393"/>
                </a:ext>
                <a:ext uri="{FF2B5EF4-FFF2-40B4-BE49-F238E27FC236}">
                  <a16:creationId xmlns:a16="http://schemas.microsoft.com/office/drawing/2014/main" id="{00000000-0008-0000-0B00-00001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16</xdr:row>
          <xdr:rowOff>45720</xdr:rowOff>
        </xdr:from>
        <xdr:to>
          <xdr:col>12</xdr:col>
          <xdr:colOff>350520</xdr:colOff>
          <xdr:row>17</xdr:row>
          <xdr:rowOff>7620</xdr:rowOff>
        </xdr:to>
        <xdr:sp macro="" textlink="">
          <xdr:nvSpPr>
            <xdr:cNvPr id="58394" name="Option Button 26" hidden="1">
              <a:extLst>
                <a:ext uri="{63B3BB69-23CF-44E3-9099-C40C66FF867C}">
                  <a14:compatExt spid="_x0000_s58394"/>
                </a:ext>
                <a:ext uri="{FF2B5EF4-FFF2-40B4-BE49-F238E27FC236}">
                  <a16:creationId xmlns:a16="http://schemas.microsoft.com/office/drawing/2014/main" id="{00000000-0008-0000-0B00-00001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160020</xdr:colOff>
          <xdr:row>19</xdr:row>
          <xdr:rowOff>0</xdr:rowOff>
        </xdr:to>
        <xdr:sp macro="" textlink="">
          <xdr:nvSpPr>
            <xdr:cNvPr id="58395" name="Option Button 27" hidden="1">
              <a:extLst>
                <a:ext uri="{63B3BB69-23CF-44E3-9099-C40C66FF867C}">
                  <a14:compatExt spid="_x0000_s58395"/>
                </a:ext>
                <a:ext uri="{FF2B5EF4-FFF2-40B4-BE49-F238E27FC236}">
                  <a16:creationId xmlns:a16="http://schemas.microsoft.com/office/drawing/2014/main" id="{00000000-0008-0000-0B00-00001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160020</xdr:colOff>
          <xdr:row>20</xdr:row>
          <xdr:rowOff>0</xdr:rowOff>
        </xdr:to>
        <xdr:sp macro="" textlink="">
          <xdr:nvSpPr>
            <xdr:cNvPr id="58396" name="Option Button 28" hidden="1">
              <a:extLst>
                <a:ext uri="{63B3BB69-23CF-44E3-9099-C40C66FF867C}">
                  <a14:compatExt spid="_x0000_s58396"/>
                </a:ext>
                <a:ext uri="{FF2B5EF4-FFF2-40B4-BE49-F238E27FC236}">
                  <a16:creationId xmlns:a16="http://schemas.microsoft.com/office/drawing/2014/main" id="{00000000-0008-0000-0B00-00001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37" name="Grafik 130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38" name="Grafik 131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39" name="Grafik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40" name="Grafik 133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41" name="Grafik 135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42" name="Grafik 136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43" name="Grafik 137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44" name="Grafik 138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45" name="Grafik 139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9</xdr:col>
          <xdr:colOff>144780</xdr:colOff>
          <xdr:row>12</xdr:row>
          <xdr:rowOff>182880</xdr:rowOff>
        </xdr:to>
        <xdr:sp macro="" textlink="">
          <xdr:nvSpPr>
            <xdr:cNvPr id="58399" name="Option Button 31" hidden="1">
              <a:extLst>
                <a:ext uri="{63B3BB69-23CF-44E3-9099-C40C66FF867C}">
                  <a14:compatExt spid="_x0000_s58399"/>
                </a:ext>
                <a:ext uri="{FF2B5EF4-FFF2-40B4-BE49-F238E27FC236}">
                  <a16:creationId xmlns:a16="http://schemas.microsoft.com/office/drawing/2014/main" id="{00000000-0008-0000-0B00-00001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8400" name="Option Button 32" hidden="1">
              <a:extLst>
                <a:ext uri="{63B3BB69-23CF-44E3-9099-C40C66FF867C}">
                  <a14:compatExt spid="_x0000_s58400"/>
                </a:ext>
                <a:ext uri="{FF2B5EF4-FFF2-40B4-BE49-F238E27FC236}">
                  <a16:creationId xmlns:a16="http://schemas.microsoft.com/office/drawing/2014/main" id="{00000000-0008-0000-0B00-00002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53" name="Grafik 148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457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54" name="Grafik 35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2065768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55" name="Grafik 38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10577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56" name="Grafik 39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14577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2186463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58" name="Grafik 148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8575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2022330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8407" name="Group Box 39" hidden="1">
              <a:extLst>
                <a:ext uri="{63B3BB69-23CF-44E3-9099-C40C66FF867C}">
                  <a14:compatExt spid="_x0000_s58407"/>
                </a:ext>
                <a:ext uri="{FF2B5EF4-FFF2-40B4-BE49-F238E27FC236}">
                  <a16:creationId xmlns:a16="http://schemas.microsoft.com/office/drawing/2014/main" id="{00000000-0008-0000-0B00-00002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8408" name="Option Button 40" hidden="1">
              <a:extLst>
                <a:ext uri="{63B3BB69-23CF-44E3-9099-C40C66FF867C}">
                  <a14:compatExt spid="_x0000_s58408"/>
                </a:ext>
                <a:ext uri="{FF2B5EF4-FFF2-40B4-BE49-F238E27FC236}">
                  <a16:creationId xmlns:a16="http://schemas.microsoft.com/office/drawing/2014/main" id="{00000000-0008-0000-0B00-00002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8409" name="Option Button 41" hidden="1">
              <a:extLst>
                <a:ext uri="{63B3BB69-23CF-44E3-9099-C40C66FF867C}">
                  <a14:compatExt spid="_x0000_s58409"/>
                </a:ext>
                <a:ext uri="{FF2B5EF4-FFF2-40B4-BE49-F238E27FC236}">
                  <a16:creationId xmlns:a16="http://schemas.microsoft.com/office/drawing/2014/main" id="{00000000-0008-0000-0B00-00002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132618</xdr:rowOff>
    </xdr:to>
    <xdr:pic>
      <xdr:nvPicPr>
        <xdr:cNvPr id="47" name="Grafik 4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238125</xdr:colOff>
      <xdr:row>0</xdr:row>
      <xdr:rowOff>114300</xdr:rowOff>
    </xdr:from>
    <xdr:to>
      <xdr:col>7</xdr:col>
      <xdr:colOff>672050</xdr:colOff>
      <xdr:row>5</xdr:row>
      <xdr:rowOff>133349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14300"/>
          <a:ext cx="1796000" cy="135254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50" name="Grafik 130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92658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51" name="Grafik 135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929259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52" name="Grafik 133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49249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60" name="Grafik 136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1009269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62" name="Grafik 138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63" name="Grafik 139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6493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49</xdr:row>
      <xdr:rowOff>19729</xdr:rowOff>
    </xdr:from>
    <xdr:to>
      <xdr:col>2</xdr:col>
      <xdr:colOff>552450</xdr:colOff>
      <xdr:row>49</xdr:row>
      <xdr:rowOff>385422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09725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67" name="Grafik 1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331109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61" name="Grafik 57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312971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73" name="Grafik 63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705021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3860725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3620452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3657716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3741350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382040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63</xdr:row>
      <xdr:rowOff>19366</xdr:rowOff>
    </xdr:from>
    <xdr:to>
      <xdr:col>2</xdr:col>
      <xdr:colOff>471118</xdr:colOff>
      <xdr:row>63</xdr:row>
      <xdr:rowOff>391991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980" y="196503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</xdr:row>
      <xdr:rowOff>19050</xdr:rowOff>
    </xdr:from>
    <xdr:to>
      <xdr:col>4</xdr:col>
      <xdr:colOff>611533</xdr:colOff>
      <xdr:row>3</xdr:row>
      <xdr:rowOff>152398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95450" y="371475"/>
          <a:ext cx="1706908" cy="6762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419100</xdr:colOff>
          <xdr:row>9</xdr:row>
          <xdr:rowOff>0</xdr:rowOff>
        </xdr:to>
        <xdr:sp macro="" textlink="">
          <xdr:nvSpPr>
            <xdr:cNvPr id="77825" name="Group Box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0C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77826" name="Group Box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0C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13</xdr:col>
          <xdr:colOff>0</xdr:colOff>
          <xdr:row>13</xdr:row>
          <xdr:rowOff>0</xdr:rowOff>
        </xdr:to>
        <xdr:sp macro="" textlink="">
          <xdr:nvSpPr>
            <xdr:cNvPr id="77827" name="Group Box 3" hidden="1">
              <a:extLst>
                <a:ext uri="{63B3BB69-23CF-44E3-9099-C40C66FF867C}">
                  <a14:compatExt spid="_x0000_s77827"/>
                </a:ext>
                <a:ext uri="{FF2B5EF4-FFF2-40B4-BE49-F238E27FC236}">
                  <a16:creationId xmlns:a16="http://schemas.microsoft.com/office/drawing/2014/main" id="{00000000-0008-0000-0C00-000003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77828" name="Option Button 4" hidden="1">
              <a:extLst>
                <a:ext uri="{63B3BB69-23CF-44E3-9099-C40C66FF867C}">
                  <a14:compatExt spid="_x0000_s77828"/>
                </a:ext>
                <a:ext uri="{FF2B5EF4-FFF2-40B4-BE49-F238E27FC236}">
                  <a16:creationId xmlns:a16="http://schemas.microsoft.com/office/drawing/2014/main" id="{00000000-0008-0000-0C00-000004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77829" name="Option Button 5" hidden="1">
              <a:extLst>
                <a:ext uri="{63B3BB69-23CF-44E3-9099-C40C66FF867C}">
                  <a14:compatExt spid="_x0000_s77829"/>
                </a:ext>
                <a:ext uri="{FF2B5EF4-FFF2-40B4-BE49-F238E27FC236}">
                  <a16:creationId xmlns:a16="http://schemas.microsoft.com/office/drawing/2014/main" id="{00000000-0008-0000-0C00-000005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77830" name="Option Button 6" hidden="1">
              <a:extLst>
                <a:ext uri="{63B3BB69-23CF-44E3-9099-C40C66FF867C}">
                  <a14:compatExt spid="_x0000_s77830"/>
                </a:ext>
                <a:ext uri="{FF2B5EF4-FFF2-40B4-BE49-F238E27FC236}">
                  <a16:creationId xmlns:a16="http://schemas.microsoft.com/office/drawing/2014/main" id="{00000000-0008-0000-0C00-00000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77831" name="Option Button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:a16="http://schemas.microsoft.com/office/drawing/2014/main" id="{00000000-0008-0000-0C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31</xdr:row>
      <xdr:rowOff>59055</xdr:rowOff>
    </xdr:from>
    <xdr:to>
      <xdr:col>2</xdr:col>
      <xdr:colOff>554567</xdr:colOff>
      <xdr:row>31</xdr:row>
      <xdr:rowOff>352425</xdr:rowOff>
    </xdr:to>
    <xdr:pic>
      <xdr:nvPicPr>
        <xdr:cNvPr id="19" name="Grafik 130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32</xdr:row>
      <xdr:rowOff>59055</xdr:rowOff>
    </xdr:from>
    <xdr:to>
      <xdr:col>2</xdr:col>
      <xdr:colOff>541020</xdr:colOff>
      <xdr:row>32</xdr:row>
      <xdr:rowOff>359411</xdr:rowOff>
    </xdr:to>
    <xdr:pic>
      <xdr:nvPicPr>
        <xdr:cNvPr id="20" name="Grafik 131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33</xdr:row>
      <xdr:rowOff>59056</xdr:rowOff>
    </xdr:from>
    <xdr:to>
      <xdr:col>2</xdr:col>
      <xdr:colOff>659893</xdr:colOff>
      <xdr:row>33</xdr:row>
      <xdr:rowOff>360046</xdr:rowOff>
    </xdr:to>
    <xdr:pic>
      <xdr:nvPicPr>
        <xdr:cNvPr id="21" name="Grafik 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35</xdr:row>
      <xdr:rowOff>62866</xdr:rowOff>
    </xdr:from>
    <xdr:to>
      <xdr:col>2</xdr:col>
      <xdr:colOff>601981</xdr:colOff>
      <xdr:row>35</xdr:row>
      <xdr:rowOff>360776</xdr:rowOff>
    </xdr:to>
    <xdr:pic>
      <xdr:nvPicPr>
        <xdr:cNvPr id="22" name="Grafik 133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37</xdr:row>
      <xdr:rowOff>62865</xdr:rowOff>
    </xdr:from>
    <xdr:to>
      <xdr:col>2</xdr:col>
      <xdr:colOff>499111</xdr:colOff>
      <xdr:row>37</xdr:row>
      <xdr:rowOff>360327</xdr:rowOff>
    </xdr:to>
    <xdr:pic>
      <xdr:nvPicPr>
        <xdr:cNvPr id="23" name="Grafik 135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39</xdr:row>
      <xdr:rowOff>62865</xdr:rowOff>
    </xdr:from>
    <xdr:to>
      <xdr:col>2</xdr:col>
      <xdr:colOff>555097</xdr:colOff>
      <xdr:row>39</xdr:row>
      <xdr:rowOff>356235</xdr:rowOff>
    </xdr:to>
    <xdr:pic>
      <xdr:nvPicPr>
        <xdr:cNvPr id="24" name="Grafik 136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41</xdr:row>
      <xdr:rowOff>62865</xdr:rowOff>
    </xdr:from>
    <xdr:to>
      <xdr:col>2</xdr:col>
      <xdr:colOff>464820</xdr:colOff>
      <xdr:row>41</xdr:row>
      <xdr:rowOff>360807</xdr:rowOff>
    </xdr:to>
    <xdr:pic>
      <xdr:nvPicPr>
        <xdr:cNvPr id="25" name="Grafik 137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44</xdr:row>
      <xdr:rowOff>62865</xdr:rowOff>
    </xdr:from>
    <xdr:to>
      <xdr:col>2</xdr:col>
      <xdr:colOff>551180</xdr:colOff>
      <xdr:row>44</xdr:row>
      <xdr:rowOff>360045</xdr:rowOff>
    </xdr:to>
    <xdr:pic>
      <xdr:nvPicPr>
        <xdr:cNvPr id="26" name="Grafik 138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46</xdr:row>
      <xdr:rowOff>62865</xdr:rowOff>
    </xdr:from>
    <xdr:to>
      <xdr:col>2</xdr:col>
      <xdr:colOff>475129</xdr:colOff>
      <xdr:row>46</xdr:row>
      <xdr:rowOff>360045</xdr:rowOff>
    </xdr:to>
    <xdr:pic>
      <xdr:nvPicPr>
        <xdr:cNvPr id="27" name="Grafik 13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9</xdr:col>
          <xdr:colOff>144780</xdr:colOff>
          <xdr:row>12</xdr:row>
          <xdr:rowOff>182880</xdr:rowOff>
        </xdr:to>
        <xdr:sp macro="" textlink="">
          <xdr:nvSpPr>
            <xdr:cNvPr id="77841" name="Option Button 17" hidden="1">
              <a:extLst>
                <a:ext uri="{63B3BB69-23CF-44E3-9099-C40C66FF867C}">
                  <a14:compatExt spid="_x0000_s77841"/>
                </a:ext>
                <a:ext uri="{FF2B5EF4-FFF2-40B4-BE49-F238E27FC236}">
                  <a16:creationId xmlns:a16="http://schemas.microsoft.com/office/drawing/2014/main" id="{00000000-0008-0000-0C00-00001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77842" name="Option Button 18" hidden="1">
              <a:extLst>
                <a:ext uri="{63B3BB69-23CF-44E3-9099-C40C66FF867C}">
                  <a14:compatExt spid="_x0000_s77842"/>
                </a:ext>
                <a:ext uri="{FF2B5EF4-FFF2-40B4-BE49-F238E27FC236}">
                  <a16:creationId xmlns:a16="http://schemas.microsoft.com/office/drawing/2014/main" id="{00000000-0008-0000-0C00-00001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209550</xdr:colOff>
      <xdr:row>42</xdr:row>
      <xdr:rowOff>38100</xdr:rowOff>
    </xdr:from>
    <xdr:to>
      <xdr:col>2</xdr:col>
      <xdr:colOff>587126</xdr:colOff>
      <xdr:row>42</xdr:row>
      <xdr:rowOff>381632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950" y="7905750"/>
          <a:ext cx="377576" cy="343532"/>
        </a:xfrm>
        <a:prstGeom prst="rect">
          <a:avLst/>
        </a:prstGeom>
      </xdr:spPr>
    </xdr:pic>
    <xdr:clientData/>
  </xdr:twoCellAnchor>
  <xdr:twoCellAnchor>
    <xdr:from>
      <xdr:col>2</xdr:col>
      <xdr:colOff>150578</xdr:colOff>
      <xdr:row>51</xdr:row>
      <xdr:rowOff>64635</xdr:rowOff>
    </xdr:from>
    <xdr:to>
      <xdr:col>2</xdr:col>
      <xdr:colOff>629329</xdr:colOff>
      <xdr:row>51</xdr:row>
      <xdr:rowOff>360590</xdr:rowOff>
    </xdr:to>
    <xdr:pic>
      <xdr:nvPicPr>
        <xdr:cNvPr id="33" name="Grafik 148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532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54</xdr:row>
      <xdr:rowOff>64635</xdr:rowOff>
    </xdr:from>
    <xdr:to>
      <xdr:col>2</xdr:col>
      <xdr:colOff>632223</xdr:colOff>
      <xdr:row>54</xdr:row>
      <xdr:rowOff>357187</xdr:rowOff>
    </xdr:to>
    <xdr:pic>
      <xdr:nvPicPr>
        <xdr:cNvPr id="34" name="Grafik 35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07326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146337</xdr:colOff>
      <xdr:row>55</xdr:row>
      <xdr:rowOff>64635</xdr:rowOff>
    </xdr:from>
    <xdr:to>
      <xdr:col>2</xdr:col>
      <xdr:colOff>633569</xdr:colOff>
      <xdr:row>55</xdr:row>
      <xdr:rowOff>360589</xdr:rowOff>
    </xdr:to>
    <xdr:pic>
      <xdr:nvPicPr>
        <xdr:cNvPr id="35" name="Grafik 38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1113268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56</xdr:row>
      <xdr:rowOff>64635</xdr:rowOff>
    </xdr:from>
    <xdr:to>
      <xdr:col>2</xdr:col>
      <xdr:colOff>487754</xdr:colOff>
      <xdr:row>56</xdr:row>
      <xdr:rowOff>353786</xdr:rowOff>
    </xdr:to>
    <xdr:pic>
      <xdr:nvPicPr>
        <xdr:cNvPr id="36" name="Grafik 39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1153273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57</xdr:row>
      <xdr:rowOff>71439</xdr:rowOff>
    </xdr:from>
    <xdr:to>
      <xdr:col>2</xdr:col>
      <xdr:colOff>528066</xdr:colOff>
      <xdr:row>57</xdr:row>
      <xdr:rowOff>347664</xdr:rowOff>
    </xdr:to>
    <xdr:pic>
      <xdr:nvPicPr>
        <xdr:cNvPr id="37" name="Grafik 40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1193958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52</xdr:row>
      <xdr:rowOff>64635</xdr:rowOff>
    </xdr:from>
    <xdr:to>
      <xdr:col>2</xdr:col>
      <xdr:colOff>629329</xdr:colOff>
      <xdr:row>52</xdr:row>
      <xdr:rowOff>360590</xdr:rowOff>
    </xdr:to>
    <xdr:pic>
      <xdr:nvPicPr>
        <xdr:cNvPr id="38" name="Grafik 148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993253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132209</xdr:colOff>
      <xdr:row>53</xdr:row>
      <xdr:rowOff>30307</xdr:rowOff>
    </xdr:from>
    <xdr:to>
      <xdr:col>2</xdr:col>
      <xdr:colOff>644695</xdr:colOff>
      <xdr:row>53</xdr:row>
      <xdr:rowOff>355023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7609" y="10298257"/>
          <a:ext cx="512486" cy="3247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13</xdr:col>
          <xdr:colOff>0</xdr:colOff>
          <xdr:row>11</xdr:row>
          <xdr:rowOff>0</xdr:rowOff>
        </xdr:to>
        <xdr:sp macro="" textlink="">
          <xdr:nvSpPr>
            <xdr:cNvPr id="77846" name="Group Box 22" hidden="1">
              <a:extLst>
                <a:ext uri="{63B3BB69-23CF-44E3-9099-C40C66FF867C}">
                  <a14:compatExt spid="_x0000_s77846"/>
                </a:ext>
                <a:ext uri="{FF2B5EF4-FFF2-40B4-BE49-F238E27FC236}">
                  <a16:creationId xmlns:a16="http://schemas.microsoft.com/office/drawing/2014/main" id="{00000000-0008-0000-0C00-000016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77847" name="Option Button 23" hidden="1">
              <a:extLst>
                <a:ext uri="{63B3BB69-23CF-44E3-9099-C40C66FF867C}">
                  <a14:compatExt spid="_x0000_s77847"/>
                </a:ext>
                <a:ext uri="{FF2B5EF4-FFF2-40B4-BE49-F238E27FC236}">
                  <a16:creationId xmlns:a16="http://schemas.microsoft.com/office/drawing/2014/main" id="{00000000-0008-0000-0C00-00001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77848" name="Option Button 24" hidden="1">
              <a:extLst>
                <a:ext uri="{63B3BB69-23CF-44E3-9099-C40C66FF867C}">
                  <a14:compatExt spid="_x0000_s77848"/>
                </a:ext>
                <a:ext uri="{FF2B5EF4-FFF2-40B4-BE49-F238E27FC236}">
                  <a16:creationId xmlns:a16="http://schemas.microsoft.com/office/drawing/2014/main" id="{00000000-0008-0000-0C00-000018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447675</xdr:colOff>
      <xdr:row>0</xdr:row>
      <xdr:rowOff>38100</xdr:rowOff>
    </xdr:from>
    <xdr:to>
      <xdr:col>6</xdr:col>
      <xdr:colOff>614899</xdr:colOff>
      <xdr:row>5</xdr:row>
      <xdr:rowOff>57149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38100"/>
          <a:ext cx="1795999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4</xdr:row>
      <xdr:rowOff>140634</xdr:rowOff>
    </xdr:to>
    <xdr:pic>
      <xdr:nvPicPr>
        <xdr:cNvPr id="41" name="Grafik 4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50016" cy="125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77850" name="Option Button 26" hidden="1">
              <a:extLst>
                <a:ext uri="{63B3BB69-23CF-44E3-9099-C40C66FF867C}">
                  <a14:compatExt spid="_x0000_s77850"/>
                </a:ext>
                <a:ext uri="{FF2B5EF4-FFF2-40B4-BE49-F238E27FC236}">
                  <a16:creationId xmlns:a16="http://schemas.microsoft.com/office/drawing/2014/main" id="{00000000-0008-0000-0C00-00001A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182880</xdr:colOff>
          <xdr:row>16</xdr:row>
          <xdr:rowOff>0</xdr:rowOff>
        </xdr:to>
        <xdr:sp macro="" textlink="">
          <xdr:nvSpPr>
            <xdr:cNvPr id="77851" name="Option Button 27" hidden="1">
              <a:extLst>
                <a:ext uri="{63B3BB69-23CF-44E3-9099-C40C66FF867C}">
                  <a14:compatExt spid="_x0000_s77851"/>
                </a:ext>
                <a:ext uri="{FF2B5EF4-FFF2-40B4-BE49-F238E27FC236}">
                  <a16:creationId xmlns:a16="http://schemas.microsoft.com/office/drawing/2014/main" id="{00000000-0008-0000-0C00-00001B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30480</xdr:rowOff>
        </xdr:from>
        <xdr:to>
          <xdr:col>10</xdr:col>
          <xdr:colOff>182880</xdr:colOff>
          <xdr:row>17</xdr:row>
          <xdr:rowOff>0</xdr:rowOff>
        </xdr:to>
        <xdr:sp macro="" textlink="">
          <xdr:nvSpPr>
            <xdr:cNvPr id="77852" name="Option Button 28" hidden="1">
              <a:extLst>
                <a:ext uri="{63B3BB69-23CF-44E3-9099-C40C66FF867C}">
                  <a14:compatExt spid="_x0000_s77852"/>
                </a:ext>
                <a:ext uri="{FF2B5EF4-FFF2-40B4-BE49-F238E27FC236}">
                  <a16:creationId xmlns:a16="http://schemas.microsoft.com/office/drawing/2014/main" id="{00000000-0008-0000-0C00-00001C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30480</xdr:rowOff>
        </xdr:from>
        <xdr:to>
          <xdr:col>10</xdr:col>
          <xdr:colOff>182880</xdr:colOff>
          <xdr:row>18</xdr:row>
          <xdr:rowOff>0</xdr:rowOff>
        </xdr:to>
        <xdr:sp macro="" textlink="">
          <xdr:nvSpPr>
            <xdr:cNvPr id="77853" name="Option Button 29" hidden="1">
              <a:extLst>
                <a:ext uri="{63B3BB69-23CF-44E3-9099-C40C66FF867C}">
                  <a14:compatExt spid="_x0000_s77853"/>
                </a:ext>
                <a:ext uri="{FF2B5EF4-FFF2-40B4-BE49-F238E27FC236}">
                  <a16:creationId xmlns:a16="http://schemas.microsoft.com/office/drawing/2014/main" id="{00000000-0008-0000-0C00-00001D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30</xdr:row>
      <xdr:rowOff>59055</xdr:rowOff>
    </xdr:from>
    <xdr:to>
      <xdr:col>2</xdr:col>
      <xdr:colOff>554567</xdr:colOff>
      <xdr:row>30</xdr:row>
      <xdr:rowOff>352425</xdr:rowOff>
    </xdr:to>
    <xdr:pic>
      <xdr:nvPicPr>
        <xdr:cNvPr id="42" name="Grafik 130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6488430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34</xdr:row>
      <xdr:rowOff>62866</xdr:rowOff>
    </xdr:from>
    <xdr:to>
      <xdr:col>2</xdr:col>
      <xdr:colOff>601981</xdr:colOff>
      <xdr:row>34</xdr:row>
      <xdr:rowOff>360776</xdr:rowOff>
    </xdr:to>
    <xdr:pic>
      <xdr:nvPicPr>
        <xdr:cNvPr id="43" name="Grafik 13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8092441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36</xdr:row>
      <xdr:rowOff>62865</xdr:rowOff>
    </xdr:from>
    <xdr:to>
      <xdr:col>2</xdr:col>
      <xdr:colOff>499111</xdr:colOff>
      <xdr:row>36</xdr:row>
      <xdr:rowOff>360327</xdr:rowOff>
    </xdr:to>
    <xdr:pic>
      <xdr:nvPicPr>
        <xdr:cNvPr id="44" name="Grafik 135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8892540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38</xdr:row>
      <xdr:rowOff>62865</xdr:rowOff>
    </xdr:from>
    <xdr:to>
      <xdr:col>2</xdr:col>
      <xdr:colOff>555097</xdr:colOff>
      <xdr:row>38</xdr:row>
      <xdr:rowOff>356235</xdr:rowOff>
    </xdr:to>
    <xdr:pic>
      <xdr:nvPicPr>
        <xdr:cNvPr id="45" name="Grafik 136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9692640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43</xdr:row>
      <xdr:rowOff>62865</xdr:rowOff>
    </xdr:from>
    <xdr:to>
      <xdr:col>2</xdr:col>
      <xdr:colOff>551180</xdr:colOff>
      <xdr:row>43</xdr:row>
      <xdr:rowOff>360045</xdr:rowOff>
    </xdr:to>
    <xdr:pic>
      <xdr:nvPicPr>
        <xdr:cNvPr id="46" name="Grafik 138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11692890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45</xdr:row>
      <xdr:rowOff>62865</xdr:rowOff>
    </xdr:from>
    <xdr:to>
      <xdr:col>2</xdr:col>
      <xdr:colOff>475129</xdr:colOff>
      <xdr:row>45</xdr:row>
      <xdr:rowOff>360045</xdr:rowOff>
    </xdr:to>
    <xdr:pic>
      <xdr:nvPicPr>
        <xdr:cNvPr id="47" name="Grafik 139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12492990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47</xdr:row>
      <xdr:rowOff>19051</xdr:rowOff>
    </xdr:from>
    <xdr:to>
      <xdr:col>2</xdr:col>
      <xdr:colOff>529590</xdr:colOff>
      <xdr:row>47</xdr:row>
      <xdr:rowOff>381001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324927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48</xdr:row>
      <xdr:rowOff>19051</xdr:rowOff>
    </xdr:from>
    <xdr:to>
      <xdr:col>2</xdr:col>
      <xdr:colOff>529590</xdr:colOff>
      <xdr:row>48</xdr:row>
      <xdr:rowOff>381001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71625" y="12849226"/>
          <a:ext cx="253365" cy="3619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40</xdr:row>
      <xdr:rowOff>28576</xdr:rowOff>
    </xdr:from>
    <xdr:to>
      <xdr:col>2</xdr:col>
      <xdr:colOff>552450</xdr:colOff>
      <xdr:row>40</xdr:row>
      <xdr:rowOff>384416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3525" y="10458451"/>
          <a:ext cx="314325" cy="35584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49</xdr:row>
      <xdr:rowOff>19729</xdr:rowOff>
    </xdr:from>
    <xdr:to>
      <xdr:col>2</xdr:col>
      <xdr:colOff>561975</xdr:colOff>
      <xdr:row>49</xdr:row>
      <xdr:rowOff>385422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9250" y="14050054"/>
          <a:ext cx="238125" cy="365693"/>
        </a:xfrm>
        <a:prstGeom prst="rect">
          <a:avLst/>
        </a:prstGeom>
      </xdr:spPr>
    </xdr:pic>
    <xdr:clientData/>
  </xdr:twoCellAnchor>
  <xdr:twoCellAnchor>
    <xdr:from>
      <xdr:col>2</xdr:col>
      <xdr:colOff>137541</xdr:colOff>
      <xdr:row>50</xdr:row>
      <xdr:rowOff>125867</xdr:rowOff>
    </xdr:from>
    <xdr:to>
      <xdr:col>2</xdr:col>
      <xdr:colOff>642366</xdr:colOff>
      <xdr:row>50</xdr:row>
      <xdr:rowOff>278267</xdr:rowOff>
    </xdr:to>
    <xdr:pic>
      <xdr:nvPicPr>
        <xdr:cNvPr id="52" name="Grafik 166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14556242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58</xdr:row>
      <xdr:rowOff>64636</xdr:rowOff>
    </xdr:from>
    <xdr:to>
      <xdr:col>2</xdr:col>
      <xdr:colOff>592359</xdr:colOff>
      <xdr:row>58</xdr:row>
      <xdr:rowOff>361498</xdr:rowOff>
    </xdr:to>
    <xdr:pic>
      <xdr:nvPicPr>
        <xdr:cNvPr id="53" name="Grafik 57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17695411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61</xdr:row>
      <xdr:rowOff>64635</xdr:rowOff>
    </xdr:from>
    <xdr:to>
      <xdr:col>2</xdr:col>
      <xdr:colOff>677404</xdr:colOff>
      <xdr:row>61</xdr:row>
      <xdr:rowOff>352085</xdr:rowOff>
    </xdr:to>
    <xdr:pic>
      <xdr:nvPicPr>
        <xdr:cNvPr id="54" name="Grafik 6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18895560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128868</xdr:colOff>
      <xdr:row>65</xdr:row>
      <xdr:rowOff>21479</xdr:rowOff>
    </xdr:from>
    <xdr:to>
      <xdr:col>2</xdr:col>
      <xdr:colOff>655545</xdr:colOff>
      <xdr:row>65</xdr:row>
      <xdr:rowOff>372597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4268" y="20452604"/>
          <a:ext cx="526677" cy="351118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59</xdr:row>
      <xdr:rowOff>19050</xdr:rowOff>
    </xdr:from>
    <xdr:to>
      <xdr:col>2</xdr:col>
      <xdr:colOff>428625</xdr:colOff>
      <xdr:row>59</xdr:row>
      <xdr:rowOff>381000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0200" y="18049875"/>
          <a:ext cx="123825" cy="361950"/>
        </a:xfrm>
        <a:prstGeom prst="rect">
          <a:avLst/>
        </a:prstGeom>
      </xdr:spPr>
    </xdr:pic>
    <xdr:clientData/>
  </xdr:twoCellAnchor>
  <xdr:twoCellAnchor>
    <xdr:from>
      <xdr:col>2</xdr:col>
      <xdr:colOff>152985</xdr:colOff>
      <xdr:row>60</xdr:row>
      <xdr:rowOff>120153</xdr:rowOff>
    </xdr:from>
    <xdr:to>
      <xdr:col>2</xdr:col>
      <xdr:colOff>585430</xdr:colOff>
      <xdr:row>60</xdr:row>
      <xdr:rowOff>295579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4034817">
          <a:off x="1576895" y="18422518"/>
          <a:ext cx="175426" cy="432445"/>
        </a:xfrm>
        <a:prstGeom prst="rect">
          <a:avLst/>
        </a:prstGeom>
      </xdr:spPr>
    </xdr:pic>
    <xdr:clientData/>
  </xdr:twoCellAnchor>
  <xdr:twoCellAnchor>
    <xdr:from>
      <xdr:col>2</xdr:col>
      <xdr:colOff>119875</xdr:colOff>
      <xdr:row>62</xdr:row>
      <xdr:rowOff>27877</xdr:rowOff>
    </xdr:from>
    <xdr:to>
      <xdr:col>2</xdr:col>
      <xdr:colOff>678364</xdr:colOff>
      <xdr:row>62</xdr:row>
      <xdr:rowOff>373656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4886" b="13458"/>
        <a:stretch/>
      </xdr:blipFill>
      <xdr:spPr>
        <a:xfrm>
          <a:off x="1415275" y="19258852"/>
          <a:ext cx="558489" cy="345779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64</xdr:row>
      <xdr:rowOff>18316</xdr:rowOff>
    </xdr:from>
    <xdr:to>
      <xdr:col>2</xdr:col>
      <xdr:colOff>532488</xdr:colOff>
      <xdr:row>64</xdr:row>
      <xdr:rowOff>373673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0157" y="2004939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63</xdr:row>
      <xdr:rowOff>19366</xdr:rowOff>
    </xdr:from>
    <xdr:to>
      <xdr:col>2</xdr:col>
      <xdr:colOff>461593</xdr:colOff>
      <xdr:row>63</xdr:row>
      <xdr:rowOff>391991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0455" y="1965039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</xdr:row>
      <xdr:rowOff>19050</xdr:rowOff>
    </xdr:from>
    <xdr:to>
      <xdr:col>4</xdr:col>
      <xdr:colOff>582958</xdr:colOff>
      <xdr:row>3</xdr:row>
      <xdr:rowOff>152398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6875" y="371475"/>
          <a:ext cx="1706908" cy="676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123" name="Group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146658</xdr:colOff>
      <xdr:row>30</xdr:row>
      <xdr:rowOff>50260</xdr:rowOff>
    </xdr:from>
    <xdr:to>
      <xdr:col>2</xdr:col>
      <xdr:colOff>569203</xdr:colOff>
      <xdr:row>30</xdr:row>
      <xdr:rowOff>350210</xdr:rowOff>
    </xdr:to>
    <xdr:pic>
      <xdr:nvPicPr>
        <xdr:cNvPr id="6" name="Grafik 1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6" t="11818" r="15182" b="14584"/>
        <a:stretch>
          <a:fillRect/>
        </a:stretch>
      </xdr:blipFill>
      <xdr:spPr bwMode="auto">
        <a:xfrm>
          <a:off x="1442058" y="5384260"/>
          <a:ext cx="422545" cy="29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33</xdr:row>
      <xdr:rowOff>55545</xdr:rowOff>
    </xdr:from>
    <xdr:to>
      <xdr:col>2</xdr:col>
      <xdr:colOff>533534</xdr:colOff>
      <xdr:row>33</xdr:row>
      <xdr:rowOff>342091</xdr:rowOff>
    </xdr:to>
    <xdr:pic>
      <xdr:nvPicPr>
        <xdr:cNvPr id="9" name="Grafik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658969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127947</xdr:colOff>
      <xdr:row>34</xdr:row>
      <xdr:rowOff>69578</xdr:rowOff>
    </xdr:from>
    <xdr:to>
      <xdr:col>2</xdr:col>
      <xdr:colOff>629123</xdr:colOff>
      <xdr:row>34</xdr:row>
      <xdr:rowOff>329930</xdr:rowOff>
    </xdr:to>
    <xdr:pic>
      <xdr:nvPicPr>
        <xdr:cNvPr id="10" name="Grafik 2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347" y="7003778"/>
          <a:ext cx="501176" cy="26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177167</xdr:colOff>
      <xdr:row>35</xdr:row>
      <xdr:rowOff>104878</xdr:rowOff>
    </xdr:from>
    <xdr:to>
      <xdr:col>2</xdr:col>
      <xdr:colOff>532303</xdr:colOff>
      <xdr:row>35</xdr:row>
      <xdr:rowOff>294835</xdr:rowOff>
    </xdr:to>
    <xdr:pic>
      <xdr:nvPicPr>
        <xdr:cNvPr id="11" name="Grafik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35653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52793</xdr:rowOff>
    </xdr:from>
    <xdr:to>
      <xdr:col>2</xdr:col>
      <xdr:colOff>584993</xdr:colOff>
      <xdr:row>36</xdr:row>
      <xdr:rowOff>347663</xdr:rowOff>
    </xdr:to>
    <xdr:pic>
      <xdr:nvPicPr>
        <xdr:cNvPr id="12" name="Grafik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78709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47624</xdr:rowOff>
    </xdr:from>
    <xdr:to>
      <xdr:col>2</xdr:col>
      <xdr:colOff>564911</xdr:colOff>
      <xdr:row>37</xdr:row>
      <xdr:rowOff>354805</xdr:rowOff>
    </xdr:to>
    <xdr:pic>
      <xdr:nvPicPr>
        <xdr:cNvPr id="13" name="Grafik 10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1527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53975</xdr:rowOff>
    </xdr:from>
    <xdr:to>
      <xdr:col>2</xdr:col>
      <xdr:colOff>606320</xdr:colOff>
      <xdr:row>38</xdr:row>
      <xdr:rowOff>350045</xdr:rowOff>
    </xdr:to>
    <xdr:pic>
      <xdr:nvPicPr>
        <xdr:cNvPr id="14" name="Grafik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58837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1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1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1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1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1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70450</xdr:rowOff>
    </xdr:from>
    <xdr:to>
      <xdr:col>2</xdr:col>
      <xdr:colOff>645534</xdr:colOff>
      <xdr:row>39</xdr:row>
      <xdr:rowOff>332836</xdr:rowOff>
    </xdr:to>
    <xdr:pic>
      <xdr:nvPicPr>
        <xdr:cNvPr id="33" name="Grafik 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90049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48884</xdr:rowOff>
    </xdr:from>
    <xdr:to>
      <xdr:col>2</xdr:col>
      <xdr:colOff>525673</xdr:colOff>
      <xdr:row>40</xdr:row>
      <xdr:rowOff>345541</xdr:rowOff>
    </xdr:to>
    <xdr:pic>
      <xdr:nvPicPr>
        <xdr:cNvPr id="34" name="Grafik 1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38338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48882</xdr:rowOff>
    </xdr:from>
    <xdr:to>
      <xdr:col>2</xdr:col>
      <xdr:colOff>593018</xdr:colOff>
      <xdr:row>41</xdr:row>
      <xdr:rowOff>354401</xdr:rowOff>
    </xdr:to>
    <xdr:pic>
      <xdr:nvPicPr>
        <xdr:cNvPr id="35" name="Grafik 1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78343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52477</xdr:rowOff>
    </xdr:from>
    <xdr:to>
      <xdr:col>2</xdr:col>
      <xdr:colOff>597559</xdr:colOff>
      <xdr:row>42</xdr:row>
      <xdr:rowOff>354402</xdr:rowOff>
    </xdr:to>
    <xdr:pic>
      <xdr:nvPicPr>
        <xdr:cNvPr id="36" name="Grafik 1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1018707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49601</xdr:rowOff>
    </xdr:from>
    <xdr:to>
      <xdr:col>2</xdr:col>
      <xdr:colOff>583183</xdr:colOff>
      <xdr:row>43</xdr:row>
      <xdr:rowOff>354401</xdr:rowOff>
    </xdr:to>
    <xdr:pic>
      <xdr:nvPicPr>
        <xdr:cNvPr id="37" name="Grafik 1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58425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48885</xdr:rowOff>
    </xdr:from>
    <xdr:to>
      <xdr:col>2</xdr:col>
      <xdr:colOff>611935</xdr:colOff>
      <xdr:row>44</xdr:row>
      <xdr:rowOff>357999</xdr:rowOff>
    </xdr:to>
    <xdr:pic>
      <xdr:nvPicPr>
        <xdr:cNvPr id="38" name="Grafik 15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98358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45287</xdr:rowOff>
    </xdr:from>
    <xdr:to>
      <xdr:col>2</xdr:col>
      <xdr:colOff>608342</xdr:colOff>
      <xdr:row>46</xdr:row>
      <xdr:rowOff>354400</xdr:rowOff>
    </xdr:to>
    <xdr:pic>
      <xdr:nvPicPr>
        <xdr:cNvPr id="39" name="Grafik 16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78008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57730</xdr:rowOff>
    </xdr:from>
    <xdr:to>
      <xdr:col>2</xdr:col>
      <xdr:colOff>640693</xdr:colOff>
      <xdr:row>48</xdr:row>
      <xdr:rowOff>354401</xdr:rowOff>
    </xdr:to>
    <xdr:pic>
      <xdr:nvPicPr>
        <xdr:cNvPr id="40" name="Grafik 17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1925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45290</xdr:rowOff>
    </xdr:from>
    <xdr:to>
      <xdr:col>2</xdr:col>
      <xdr:colOff>611935</xdr:colOff>
      <xdr:row>45</xdr:row>
      <xdr:rowOff>354404</xdr:rowOff>
    </xdr:to>
    <xdr:pic>
      <xdr:nvPicPr>
        <xdr:cNvPr id="41" name="Grafik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38004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49</xdr:row>
      <xdr:rowOff>54135</xdr:rowOff>
    </xdr:from>
    <xdr:to>
      <xdr:col>2</xdr:col>
      <xdr:colOff>640693</xdr:colOff>
      <xdr:row>49</xdr:row>
      <xdr:rowOff>350806</xdr:rowOff>
    </xdr:to>
    <xdr:pic>
      <xdr:nvPicPr>
        <xdr:cNvPr id="42" name="Grafik 1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5890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130295</xdr:colOff>
      <xdr:row>51</xdr:row>
      <xdr:rowOff>49062</xdr:rowOff>
    </xdr:from>
    <xdr:to>
      <xdr:col>2</xdr:col>
      <xdr:colOff>588495</xdr:colOff>
      <xdr:row>51</xdr:row>
      <xdr:rowOff>343619</xdr:rowOff>
    </xdr:to>
    <xdr:pic>
      <xdr:nvPicPr>
        <xdr:cNvPr id="43" name="Grafik 18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8" t="3084" r="3461" b="4425"/>
        <a:stretch>
          <a:fillRect/>
        </a:stretch>
      </xdr:blipFill>
      <xdr:spPr bwMode="auto">
        <a:xfrm>
          <a:off x="1425695" y="13517412"/>
          <a:ext cx="458200" cy="294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121888</xdr:colOff>
      <xdr:row>54</xdr:row>
      <xdr:rowOff>44822</xdr:rowOff>
    </xdr:from>
    <xdr:to>
      <xdr:col>2</xdr:col>
      <xdr:colOff>596958</xdr:colOff>
      <xdr:row>54</xdr:row>
      <xdr:rowOff>401125</xdr:rowOff>
    </xdr:to>
    <xdr:pic>
      <xdr:nvPicPr>
        <xdr:cNvPr id="44" name="Grafik 20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1770" y="13996146"/>
          <a:ext cx="475070" cy="35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59666</xdr:rowOff>
    </xdr:from>
    <xdr:to>
      <xdr:col>2</xdr:col>
      <xdr:colOff>567905</xdr:colOff>
      <xdr:row>50</xdr:row>
      <xdr:rowOff>345416</xdr:rowOff>
    </xdr:to>
    <xdr:pic>
      <xdr:nvPicPr>
        <xdr:cNvPr id="45" name="Grafik 1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9946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1875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49" name="Grafik 4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5876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50" name="Grafik 2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53736</xdr:rowOff>
    </xdr:from>
    <xdr:to>
      <xdr:col>2</xdr:col>
      <xdr:colOff>597556</xdr:colOff>
      <xdr:row>61</xdr:row>
      <xdr:rowOff>355164</xdr:rowOff>
    </xdr:to>
    <xdr:pic>
      <xdr:nvPicPr>
        <xdr:cNvPr id="51" name="Grafik 2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7890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51008</xdr:rowOff>
    </xdr:from>
    <xdr:to>
      <xdr:col>2</xdr:col>
      <xdr:colOff>514890</xdr:colOff>
      <xdr:row>58</xdr:row>
      <xdr:rowOff>347214</xdr:rowOff>
    </xdr:to>
    <xdr:pic>
      <xdr:nvPicPr>
        <xdr:cNvPr id="52" name="Grafik 6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9862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50141</xdr:rowOff>
    </xdr:from>
    <xdr:to>
      <xdr:col>2</xdr:col>
      <xdr:colOff>597556</xdr:colOff>
      <xdr:row>62</xdr:row>
      <xdr:rowOff>351569</xdr:rowOff>
    </xdr:to>
    <xdr:pic>
      <xdr:nvPicPr>
        <xdr:cNvPr id="53" name="Grafik 2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1854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53735</xdr:rowOff>
    </xdr:from>
    <xdr:to>
      <xdr:col>2</xdr:col>
      <xdr:colOff>597556</xdr:colOff>
      <xdr:row>63</xdr:row>
      <xdr:rowOff>355163</xdr:rowOff>
    </xdr:to>
    <xdr:pic>
      <xdr:nvPicPr>
        <xdr:cNvPr id="54" name="Grafik 2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5891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55" name="Grafik 2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9855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56" name="Grafik 2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73879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53736</xdr:rowOff>
    </xdr:from>
    <xdr:to>
      <xdr:col>2</xdr:col>
      <xdr:colOff>554074</xdr:colOff>
      <xdr:row>70</xdr:row>
      <xdr:rowOff>350807</xdr:rowOff>
    </xdr:to>
    <xdr:pic>
      <xdr:nvPicPr>
        <xdr:cNvPr id="57" name="Grafik 180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81893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216557</xdr:colOff>
      <xdr:row>71</xdr:row>
      <xdr:rowOff>51400</xdr:rowOff>
    </xdr:from>
    <xdr:to>
      <xdr:col>2</xdr:col>
      <xdr:colOff>538996</xdr:colOff>
      <xdr:row>71</xdr:row>
      <xdr:rowOff>350808</xdr:rowOff>
    </xdr:to>
    <xdr:pic>
      <xdr:nvPicPr>
        <xdr:cNvPr id="58" name="Grafik 180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5" t="3452" r="18765" b="6824"/>
        <a:stretch>
          <a:fillRect/>
        </a:stretch>
      </xdr:blipFill>
      <xdr:spPr bwMode="auto">
        <a:xfrm>
          <a:off x="1511957" y="18587050"/>
          <a:ext cx="322439" cy="29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47805</xdr:rowOff>
    </xdr:from>
    <xdr:to>
      <xdr:col>2</xdr:col>
      <xdr:colOff>569077</xdr:colOff>
      <xdr:row>73</xdr:row>
      <xdr:rowOff>354402</xdr:rowOff>
    </xdr:to>
    <xdr:pic>
      <xdr:nvPicPr>
        <xdr:cNvPr id="59" name="Grafik 180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9835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57330</xdr:rowOff>
    </xdr:from>
    <xdr:to>
      <xdr:col>2</xdr:col>
      <xdr:colOff>629917</xdr:colOff>
      <xdr:row>74</xdr:row>
      <xdr:rowOff>347214</xdr:rowOff>
    </xdr:to>
    <xdr:pic>
      <xdr:nvPicPr>
        <xdr:cNvPr id="60" name="Grafik 86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93930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50139</xdr:rowOff>
    </xdr:from>
    <xdr:to>
      <xdr:col>2</xdr:col>
      <xdr:colOff>524416</xdr:colOff>
      <xdr:row>69</xdr:row>
      <xdr:rowOff>354402</xdr:rowOff>
    </xdr:to>
    <xdr:pic>
      <xdr:nvPicPr>
        <xdr:cNvPr id="61" name="Grafik 3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7856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48883</xdr:rowOff>
    </xdr:from>
    <xdr:to>
      <xdr:col>2</xdr:col>
      <xdr:colOff>477051</xdr:colOff>
      <xdr:row>75</xdr:row>
      <xdr:rowOff>350807</xdr:rowOff>
    </xdr:to>
    <xdr:pic>
      <xdr:nvPicPr>
        <xdr:cNvPr id="62" name="Grafik 180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7846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52478</xdr:rowOff>
    </xdr:from>
    <xdr:to>
      <xdr:col>2</xdr:col>
      <xdr:colOff>477051</xdr:colOff>
      <xdr:row>76</xdr:row>
      <xdr:rowOff>354402</xdr:rowOff>
    </xdr:to>
    <xdr:pic>
      <xdr:nvPicPr>
        <xdr:cNvPr id="63" name="Grafik 180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01883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52478</xdr:rowOff>
    </xdr:from>
    <xdr:to>
      <xdr:col>2</xdr:col>
      <xdr:colOff>600642</xdr:colOff>
      <xdr:row>77</xdr:row>
      <xdr:rowOff>350808</xdr:rowOff>
    </xdr:to>
    <xdr:pic>
      <xdr:nvPicPr>
        <xdr:cNvPr id="64" name="Grafik 180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05883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95072</xdr:colOff>
      <xdr:row>79</xdr:row>
      <xdr:rowOff>47625</xdr:rowOff>
    </xdr:from>
    <xdr:to>
      <xdr:col>2</xdr:col>
      <xdr:colOff>658665</xdr:colOff>
      <xdr:row>79</xdr:row>
      <xdr:rowOff>351098</xdr:rowOff>
    </xdr:to>
    <xdr:pic>
      <xdr:nvPicPr>
        <xdr:cNvPr id="65" name="Grafik 180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0472" y="21383625"/>
          <a:ext cx="563593" cy="30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50143</xdr:rowOff>
    </xdr:from>
    <xdr:to>
      <xdr:col>2</xdr:col>
      <xdr:colOff>496724</xdr:colOff>
      <xdr:row>80</xdr:row>
      <xdr:rowOff>350809</xdr:rowOff>
    </xdr:to>
    <xdr:pic>
      <xdr:nvPicPr>
        <xdr:cNvPr id="69" name="Grafik 180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9863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49961</xdr:rowOff>
    </xdr:from>
    <xdr:to>
      <xdr:col>2</xdr:col>
      <xdr:colOff>592475</xdr:colOff>
      <xdr:row>81</xdr:row>
      <xdr:rowOff>354402</xdr:rowOff>
    </xdr:to>
    <xdr:pic>
      <xdr:nvPicPr>
        <xdr:cNvPr id="70" name="Grafik 181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33862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53737</xdr:rowOff>
    </xdr:from>
    <xdr:to>
      <xdr:col>2</xdr:col>
      <xdr:colOff>564622</xdr:colOff>
      <xdr:row>78</xdr:row>
      <xdr:rowOff>347213</xdr:rowOff>
    </xdr:to>
    <xdr:pic>
      <xdr:nvPicPr>
        <xdr:cNvPr id="71" name="Grafik 180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9896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48883</xdr:rowOff>
    </xdr:from>
    <xdr:to>
      <xdr:col>2</xdr:col>
      <xdr:colOff>530349</xdr:colOff>
      <xdr:row>82</xdr:row>
      <xdr:rowOff>350808</xdr:rowOff>
    </xdr:to>
    <xdr:pic>
      <xdr:nvPicPr>
        <xdr:cNvPr id="72" name="Grafik 181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7851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52476</xdr:rowOff>
    </xdr:from>
    <xdr:to>
      <xdr:col>2</xdr:col>
      <xdr:colOff>549693</xdr:colOff>
      <xdr:row>83</xdr:row>
      <xdr:rowOff>354402</xdr:rowOff>
    </xdr:to>
    <xdr:pic>
      <xdr:nvPicPr>
        <xdr:cNvPr id="73" name="Grafik 1811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41888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52477</xdr:rowOff>
    </xdr:from>
    <xdr:to>
      <xdr:col>2</xdr:col>
      <xdr:colOff>503461</xdr:colOff>
      <xdr:row>84</xdr:row>
      <xdr:rowOff>350808</xdr:rowOff>
    </xdr:to>
    <xdr:pic>
      <xdr:nvPicPr>
        <xdr:cNvPr id="74" name="Grafik 181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45888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75" name="Grafik 181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9838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51039</xdr:rowOff>
    </xdr:from>
    <xdr:to>
      <xdr:col>2</xdr:col>
      <xdr:colOff>564635</xdr:colOff>
      <xdr:row>86</xdr:row>
      <xdr:rowOff>354401</xdr:rowOff>
    </xdr:to>
    <xdr:pic>
      <xdr:nvPicPr>
        <xdr:cNvPr id="76" name="Grafik 181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3875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47445</xdr:rowOff>
    </xdr:from>
    <xdr:to>
      <xdr:col>2</xdr:col>
      <xdr:colOff>564635</xdr:colOff>
      <xdr:row>87</xdr:row>
      <xdr:rowOff>350807</xdr:rowOff>
    </xdr:to>
    <xdr:pic>
      <xdr:nvPicPr>
        <xdr:cNvPr id="77" name="Grafik 181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7839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51038</xdr:rowOff>
    </xdr:from>
    <xdr:to>
      <xdr:col>2</xdr:col>
      <xdr:colOff>564635</xdr:colOff>
      <xdr:row>88</xdr:row>
      <xdr:rowOff>354400</xdr:rowOff>
    </xdr:to>
    <xdr:pic>
      <xdr:nvPicPr>
        <xdr:cNvPr id="78" name="Grafik 1812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1876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51038</xdr:rowOff>
    </xdr:from>
    <xdr:to>
      <xdr:col>2</xdr:col>
      <xdr:colOff>564635</xdr:colOff>
      <xdr:row>89</xdr:row>
      <xdr:rowOff>354400</xdr:rowOff>
    </xdr:to>
    <xdr:pic>
      <xdr:nvPicPr>
        <xdr:cNvPr id="79" name="Grafik 1812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5876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48883</xdr:rowOff>
    </xdr:from>
    <xdr:to>
      <xdr:col>2</xdr:col>
      <xdr:colOff>594684</xdr:colOff>
      <xdr:row>91</xdr:row>
      <xdr:rowOff>353683</xdr:rowOff>
    </xdr:to>
    <xdr:pic>
      <xdr:nvPicPr>
        <xdr:cNvPr id="80" name="Grafik 1813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73856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100</xdr:row>
      <xdr:rowOff>53735</xdr:rowOff>
    </xdr:from>
    <xdr:to>
      <xdr:col>2</xdr:col>
      <xdr:colOff>588843</xdr:colOff>
      <xdr:row>100</xdr:row>
      <xdr:rowOff>350807</xdr:rowOff>
    </xdr:to>
    <xdr:pic>
      <xdr:nvPicPr>
        <xdr:cNvPr id="81" name="Grafik 10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97907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112866</xdr:colOff>
      <xdr:row>96</xdr:row>
      <xdr:rowOff>50142</xdr:rowOff>
    </xdr:from>
    <xdr:to>
      <xdr:col>2</xdr:col>
      <xdr:colOff>645474</xdr:colOff>
      <xdr:row>96</xdr:row>
      <xdr:rowOff>350808</xdr:rowOff>
    </xdr:to>
    <xdr:pic>
      <xdr:nvPicPr>
        <xdr:cNvPr id="87" name="Grafik 5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6177" r="14217" b="29706"/>
        <a:stretch>
          <a:fillRect/>
        </a:stretch>
      </xdr:blipFill>
      <xdr:spPr bwMode="auto">
        <a:xfrm>
          <a:off x="1408266" y="28987092"/>
          <a:ext cx="532608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99</xdr:row>
      <xdr:rowOff>63027</xdr:rowOff>
    </xdr:from>
    <xdr:to>
      <xdr:col>2</xdr:col>
      <xdr:colOff>607876</xdr:colOff>
      <xdr:row>99</xdr:row>
      <xdr:rowOff>337922</xdr:rowOff>
    </xdr:to>
    <xdr:pic>
      <xdr:nvPicPr>
        <xdr:cNvPr id="88" name="Grafik 68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9336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113401</xdr:rowOff>
    </xdr:from>
    <xdr:to>
      <xdr:col>2</xdr:col>
      <xdr:colOff>554607</xdr:colOff>
      <xdr:row>92</xdr:row>
      <xdr:rowOff>294376</xdr:rowOff>
    </xdr:to>
    <xdr:pic>
      <xdr:nvPicPr>
        <xdr:cNvPr id="89" name="Grafik 5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8502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350520</xdr:colOff>
          <xdr:row>13</xdr:row>
          <xdr:rowOff>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1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350520</xdr:colOff>
          <xdr:row>12</xdr:row>
          <xdr:rowOff>182880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1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140" name="Option 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1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1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1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101</xdr:row>
      <xdr:rowOff>147288</xdr:rowOff>
    </xdr:from>
    <xdr:to>
      <xdr:col>2</xdr:col>
      <xdr:colOff>602047</xdr:colOff>
      <xdr:row>101</xdr:row>
      <xdr:rowOff>452470</xdr:rowOff>
    </xdr:to>
    <xdr:pic>
      <xdr:nvPicPr>
        <xdr:cNvPr id="99" name="Grafik 10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00176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838200</xdr:colOff>
          <xdr:row>14</xdr:row>
          <xdr:rowOff>45720</xdr:rowOff>
        </xdr:from>
        <xdr:to>
          <xdr:col>11</xdr:col>
          <xdr:colOff>883920</xdr:colOff>
          <xdr:row>14</xdr:row>
          <xdr:rowOff>106680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1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1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91" name="Grafik 17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2" name="Grafik 2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3" name="Grafik 2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4" name="Grafik 24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95" name="Grafik 25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98</xdr:row>
      <xdr:rowOff>86183</xdr:rowOff>
    </xdr:from>
    <xdr:to>
      <xdr:col>2</xdr:col>
      <xdr:colOff>637189</xdr:colOff>
      <xdr:row>98</xdr:row>
      <xdr:rowOff>357629</xdr:rowOff>
    </xdr:to>
    <xdr:pic>
      <xdr:nvPicPr>
        <xdr:cNvPr id="96" name="Grafik 68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0675" y="31597511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50141</xdr:rowOff>
    </xdr:from>
    <xdr:to>
      <xdr:col>2</xdr:col>
      <xdr:colOff>607876</xdr:colOff>
      <xdr:row>97</xdr:row>
      <xdr:rowOff>350808</xdr:rowOff>
    </xdr:to>
    <xdr:pic>
      <xdr:nvPicPr>
        <xdr:cNvPr id="97" name="Grafik 6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3" y="31520741"/>
          <a:ext cx="412343" cy="3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101" name="Grafik 46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98" name="Grafik 180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0" name="Grafik 5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83179" y="30388152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159" name="Group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1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1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1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588857</xdr:colOff>
      <xdr:row>4</xdr:row>
      <xdr:rowOff>126214</xdr:rowOff>
    </xdr:to>
    <xdr:pic>
      <xdr:nvPicPr>
        <xdr:cNvPr id="102" name="Grafik 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5</xdr:col>
      <xdr:colOff>57150</xdr:colOff>
      <xdr:row>0</xdr:row>
      <xdr:rowOff>152401</xdr:rowOff>
    </xdr:from>
    <xdr:to>
      <xdr:col>7</xdr:col>
      <xdr:colOff>494624</xdr:colOff>
      <xdr:row>5</xdr:row>
      <xdr:rowOff>95251</xdr:rowOff>
    </xdr:to>
    <xdr:pic>
      <xdr:nvPicPr>
        <xdr:cNvPr id="104" name="Grafik 2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2" t="11410" r="7718" b="12080"/>
        <a:stretch/>
      </xdr:blipFill>
      <xdr:spPr bwMode="auto">
        <a:xfrm>
          <a:off x="3762375" y="152401"/>
          <a:ext cx="1799549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201489</xdr:colOff>
      <xdr:row>52</xdr:row>
      <xdr:rowOff>32971</xdr:rowOff>
    </xdr:from>
    <xdr:to>
      <xdr:col>2</xdr:col>
      <xdr:colOff>653552</xdr:colOff>
      <xdr:row>52</xdr:row>
      <xdr:rowOff>393089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3604" y="15397529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183173</xdr:colOff>
      <xdr:row>31</xdr:row>
      <xdr:rowOff>25644</xdr:rowOff>
    </xdr:from>
    <xdr:to>
      <xdr:col>2</xdr:col>
      <xdr:colOff>643634</xdr:colOff>
      <xdr:row>31</xdr:row>
      <xdr:rowOff>381000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75288" y="6850673"/>
          <a:ext cx="460461" cy="35535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32</xdr:row>
      <xdr:rowOff>51288</xdr:rowOff>
    </xdr:from>
    <xdr:to>
      <xdr:col>2</xdr:col>
      <xdr:colOff>615462</xdr:colOff>
      <xdr:row>32</xdr:row>
      <xdr:rowOff>375486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15" y="7282961"/>
          <a:ext cx="424962" cy="324198"/>
        </a:xfrm>
        <a:prstGeom prst="rect">
          <a:avLst/>
        </a:prstGeom>
      </xdr:spPr>
    </xdr:pic>
    <xdr:clientData/>
  </xdr:twoCellAnchor>
  <xdr:twoCellAnchor>
    <xdr:from>
      <xdr:col>2</xdr:col>
      <xdr:colOff>203689</xdr:colOff>
      <xdr:row>53</xdr:row>
      <xdr:rowOff>27841</xdr:rowOff>
    </xdr:from>
    <xdr:to>
      <xdr:col>2</xdr:col>
      <xdr:colOff>655752</xdr:colOff>
      <xdr:row>53</xdr:row>
      <xdr:rowOff>387959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95804" y="15799043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109903</xdr:colOff>
      <xdr:row>90</xdr:row>
      <xdr:rowOff>36636</xdr:rowOff>
    </xdr:from>
    <xdr:to>
      <xdr:col>2</xdr:col>
      <xdr:colOff>686612</xdr:colOff>
      <xdr:row>90</xdr:row>
      <xdr:rowOff>373674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2018" y="30853674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66872" y="32868576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362680</xdr:colOff>
      <xdr:row>94</xdr:row>
      <xdr:rowOff>19366</xdr:rowOff>
    </xdr:from>
    <xdr:to>
      <xdr:col>2</xdr:col>
      <xdr:colOff>509218</xdr:colOff>
      <xdr:row>94</xdr:row>
      <xdr:rowOff>391991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4795" y="3246298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</xdr:row>
      <xdr:rowOff>9525</xdr:rowOff>
    </xdr:from>
    <xdr:to>
      <xdr:col>4</xdr:col>
      <xdr:colOff>496781</xdr:colOff>
      <xdr:row>3</xdr:row>
      <xdr:rowOff>123825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28775" y="361950"/>
          <a:ext cx="1658831" cy="657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350520</xdr:colOff>
          <xdr:row>9</xdr:row>
          <xdr:rowOff>0</xdr:rowOff>
        </xdr:to>
        <xdr:sp macro="" textlink="">
          <xdr:nvSpPr>
            <xdr:cNvPr id="25601" name="Group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35" name="Grafik 1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228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52478</xdr:rowOff>
    </xdr:from>
    <xdr:to>
      <xdr:col>2</xdr:col>
      <xdr:colOff>575814</xdr:colOff>
      <xdr:row>54</xdr:row>
      <xdr:rowOff>347753</xdr:rowOff>
    </xdr:to>
    <xdr:pic>
      <xdr:nvPicPr>
        <xdr:cNvPr id="41" name="Grafik 46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52082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43" name="Grafik 4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53736</xdr:rowOff>
    </xdr:from>
    <xdr:to>
      <xdr:col>2</xdr:col>
      <xdr:colOff>597556</xdr:colOff>
      <xdr:row>60</xdr:row>
      <xdr:rowOff>355164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2228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57</xdr:row>
      <xdr:rowOff>51008</xdr:rowOff>
    </xdr:from>
    <xdr:to>
      <xdr:col>2</xdr:col>
      <xdr:colOff>514890</xdr:colOff>
      <xdr:row>57</xdr:row>
      <xdr:rowOff>347214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194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50141</xdr:rowOff>
    </xdr:from>
    <xdr:to>
      <xdr:col>2</xdr:col>
      <xdr:colOff>597556</xdr:colOff>
      <xdr:row>61</xdr:row>
      <xdr:rowOff>351569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1874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53735</xdr:rowOff>
    </xdr:from>
    <xdr:to>
      <xdr:col>2</xdr:col>
      <xdr:colOff>597556</xdr:colOff>
      <xdr:row>62</xdr:row>
      <xdr:rowOff>355163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2238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188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50" name="Grafik 2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67212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69</xdr:row>
      <xdr:rowOff>53736</xdr:rowOff>
    </xdr:from>
    <xdr:to>
      <xdr:col>2</xdr:col>
      <xdr:colOff>554074</xdr:colOff>
      <xdr:row>69</xdr:row>
      <xdr:rowOff>350807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225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167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263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68</xdr:row>
      <xdr:rowOff>50139</xdr:rowOff>
    </xdr:from>
    <xdr:to>
      <xdr:col>2</xdr:col>
      <xdr:colOff>524416</xdr:colOff>
      <xdr:row>68</xdr:row>
      <xdr:rowOff>354402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189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179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215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216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195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194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229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184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220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221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171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207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172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209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188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239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834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350520</xdr:colOff>
          <xdr:row>13</xdr:row>
          <xdr:rowOff>0</xdr:rowOff>
        </xdr:to>
        <xdr:sp macro="" textlink="">
          <xdr:nvSpPr>
            <xdr:cNvPr id="25618" name="Group Box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2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25619" name="Option Button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2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25620" name="Option Button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2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25624" name="Option Button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2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25625" name="Option Button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2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94" name="Grafik 1805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07236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134994</xdr:colOff>
      <xdr:row>30</xdr:row>
      <xdr:rowOff>80410</xdr:rowOff>
    </xdr:from>
    <xdr:to>
      <xdr:col>2</xdr:col>
      <xdr:colOff>622922</xdr:colOff>
      <xdr:row>30</xdr:row>
      <xdr:rowOff>322358</xdr:rowOff>
    </xdr:to>
    <xdr:pic>
      <xdr:nvPicPr>
        <xdr:cNvPr id="95" name="Grafik 101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3" t="10518" r="7292" b="28365"/>
        <a:stretch>
          <a:fillRect/>
        </a:stretch>
      </xdr:blipFill>
      <xdr:spPr bwMode="auto">
        <a:xfrm>
          <a:off x="1430394" y="5147710"/>
          <a:ext cx="487928" cy="241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60531</xdr:colOff>
      <xdr:row>31</xdr:row>
      <xdr:rowOff>87012</xdr:rowOff>
    </xdr:from>
    <xdr:to>
      <xdr:col>2</xdr:col>
      <xdr:colOff>685976</xdr:colOff>
      <xdr:row>31</xdr:row>
      <xdr:rowOff>304801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9" t="28117" r="6544" b="25198"/>
        <a:stretch>
          <a:fillRect/>
        </a:stretch>
      </xdr:blipFill>
      <xdr:spPr bwMode="auto">
        <a:xfrm>
          <a:off x="1355931" y="5554362"/>
          <a:ext cx="625445" cy="217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70930</xdr:colOff>
      <xdr:row>50</xdr:row>
      <xdr:rowOff>59390</xdr:rowOff>
    </xdr:from>
    <xdr:to>
      <xdr:col>2</xdr:col>
      <xdr:colOff>668407</xdr:colOff>
      <xdr:row>50</xdr:row>
      <xdr:rowOff>353799</xdr:rowOff>
    </xdr:to>
    <xdr:pic>
      <xdr:nvPicPr>
        <xdr:cNvPr id="97" name="Grafik 112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r="3975" b="14796"/>
        <a:stretch>
          <a:fillRect/>
        </a:stretch>
      </xdr:blipFill>
      <xdr:spPr bwMode="auto">
        <a:xfrm>
          <a:off x="1366330" y="12727640"/>
          <a:ext cx="597477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99" name="Grafik 1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4" name="Grafik 17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87" name="Grafik 2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8" name="Grafik 2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1" name="Grafik 2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92" name="Grafik 2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0" name="Grafik 25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3" name="Grafik 68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4" name="Grafik 68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2" name="Grafik 18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8" name="Grafik 5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25632" name="Group Box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2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25633" name="Option Button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2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25634" name="Option Button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2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628650</xdr:colOff>
      <xdr:row>0</xdr:row>
      <xdr:rowOff>180975</xdr:rowOff>
    </xdr:from>
    <xdr:to>
      <xdr:col>7</xdr:col>
      <xdr:colOff>762787</xdr:colOff>
      <xdr:row>4</xdr:row>
      <xdr:rowOff>161925</xdr:rowOff>
    </xdr:to>
    <xdr:pic>
      <xdr:nvPicPr>
        <xdr:cNvPr id="108" name="Grafik 9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7" b="24370"/>
        <a:stretch/>
      </xdr:blipFill>
      <xdr:spPr bwMode="auto">
        <a:xfrm>
          <a:off x="3419475" y="180975"/>
          <a:ext cx="241061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25660" name="Group Box 60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:a16="http://schemas.microsoft.com/office/drawing/2014/main" id="{00000000-0008-0000-02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25661" name="Option Button 61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:a16="http://schemas.microsoft.com/office/drawing/2014/main" id="{00000000-0008-0000-02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25662" name="Option Button 62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:a16="http://schemas.microsoft.com/office/drawing/2014/main" id="{00000000-0008-0000-02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25663" name="Option Button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02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25664" name="Option Button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02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25665" name="Option Button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02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25666" name="Option Button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02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25667" name="Option Button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02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25668" name="Option Button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02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25669" name="Option Button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02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144780</xdr:colOff>
          <xdr:row>14</xdr:row>
          <xdr:rowOff>106680</xdr:rowOff>
        </xdr:from>
        <xdr:to>
          <xdr:col>12</xdr:col>
          <xdr:colOff>182880</xdr:colOff>
          <xdr:row>14</xdr:row>
          <xdr:rowOff>144780</xdr:rowOff>
        </xdr:to>
        <xdr:sp macro="" textlink="">
          <xdr:nvSpPr>
            <xdr:cNvPr id="25670" name="Option Button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02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25671" name="Option Button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2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190500</xdr:colOff>
      <xdr:row>53</xdr:row>
      <xdr:rowOff>17545</xdr:rowOff>
    </xdr:from>
    <xdr:to>
      <xdr:col>2</xdr:col>
      <xdr:colOff>636671</xdr:colOff>
      <xdr:row>53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79145" y="14976808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191503</xdr:colOff>
      <xdr:row>51</xdr:row>
      <xdr:rowOff>30078</xdr:rowOff>
    </xdr:from>
    <xdr:to>
      <xdr:col>2</xdr:col>
      <xdr:colOff>643566</xdr:colOff>
      <xdr:row>51</xdr:row>
      <xdr:rowOff>390196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4989341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32083</xdr:rowOff>
    </xdr:from>
    <xdr:to>
      <xdr:col>2</xdr:col>
      <xdr:colOff>643566</xdr:colOff>
      <xdr:row>52</xdr:row>
      <xdr:rowOff>392201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0148" y="15397412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2741454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</xdr:row>
      <xdr:rowOff>28575</xdr:rowOff>
    </xdr:from>
    <xdr:to>
      <xdr:col>4</xdr:col>
      <xdr:colOff>334399</xdr:colOff>
      <xdr:row>3</xdr:row>
      <xdr:rowOff>123825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14475" y="381000"/>
          <a:ext cx="1610749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62465" name="Group Box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3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62466" name="Group Box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3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34</xdr:row>
      <xdr:rowOff>104878</xdr:rowOff>
    </xdr:from>
    <xdr:to>
      <xdr:col>2</xdr:col>
      <xdr:colOff>532303</xdr:colOff>
      <xdr:row>34</xdr:row>
      <xdr:rowOff>294835</xdr:rowOff>
    </xdr:to>
    <xdr:pic>
      <xdr:nvPicPr>
        <xdr:cNvPr id="5" name="Grafik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35</xdr:row>
      <xdr:rowOff>52793</xdr:rowOff>
    </xdr:from>
    <xdr:to>
      <xdr:col>2</xdr:col>
      <xdr:colOff>584993</xdr:colOff>
      <xdr:row>35</xdr:row>
      <xdr:rowOff>347663</xdr:rowOff>
    </xdr:to>
    <xdr:pic>
      <xdr:nvPicPr>
        <xdr:cNvPr id="6" name="Grafik 2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36</xdr:row>
      <xdr:rowOff>47624</xdr:rowOff>
    </xdr:from>
    <xdr:to>
      <xdr:col>2</xdr:col>
      <xdr:colOff>564911</xdr:colOff>
      <xdr:row>36</xdr:row>
      <xdr:rowOff>354805</xdr:rowOff>
    </xdr:to>
    <xdr:pic>
      <xdr:nvPicPr>
        <xdr:cNvPr id="7" name="Grafik 10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37</xdr:row>
      <xdr:rowOff>53975</xdr:rowOff>
    </xdr:from>
    <xdr:to>
      <xdr:col>2</xdr:col>
      <xdr:colOff>606320</xdr:colOff>
      <xdr:row>37</xdr:row>
      <xdr:rowOff>350045</xdr:rowOff>
    </xdr:to>
    <xdr:pic>
      <xdr:nvPicPr>
        <xdr:cNvPr id="8" name="Grafik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62467" name="Option Button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:a16="http://schemas.microsoft.com/office/drawing/2014/main" id="{00000000-0008-0000-03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62468" name="Option Button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:a16="http://schemas.microsoft.com/office/drawing/2014/main" id="{00000000-0008-0000-03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62469" name="Option Button 5" hidden="1">
              <a:extLst>
                <a:ext uri="{63B3BB69-23CF-44E3-9099-C40C66FF867C}">
                  <a14:compatExt spid="_x0000_s62469"/>
                </a:ext>
                <a:ext uri="{FF2B5EF4-FFF2-40B4-BE49-F238E27FC236}">
                  <a16:creationId xmlns:a16="http://schemas.microsoft.com/office/drawing/2014/main" id="{00000000-0008-0000-0300-00000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62470" name="Option 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3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62471" name="Option Button 7" hidden="1">
              <a:extLst>
                <a:ext uri="{63B3BB69-23CF-44E3-9099-C40C66FF867C}">
                  <a14:compatExt spid="_x0000_s62471"/>
                </a:ext>
                <a:ext uri="{FF2B5EF4-FFF2-40B4-BE49-F238E27FC236}">
                  <a16:creationId xmlns:a16="http://schemas.microsoft.com/office/drawing/2014/main" id="{00000000-0008-0000-0300-00000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62472" name="Option Button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:a16="http://schemas.microsoft.com/office/drawing/2014/main" id="{00000000-0008-0000-03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62473" name="Option Button 9" hidden="1">
              <a:extLst>
                <a:ext uri="{63B3BB69-23CF-44E3-9099-C40C66FF867C}">
                  <a14:compatExt spid="_x0000_s62473"/>
                </a:ext>
                <a:ext uri="{FF2B5EF4-FFF2-40B4-BE49-F238E27FC236}">
                  <a16:creationId xmlns:a16="http://schemas.microsoft.com/office/drawing/2014/main" id="{00000000-0008-0000-0300-00000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525780</xdr:colOff>
          <xdr:row>18</xdr:row>
          <xdr:rowOff>0</xdr:rowOff>
        </xdr:to>
        <xdr:sp macro="" textlink="">
          <xdr:nvSpPr>
            <xdr:cNvPr id="62474" name="Option Button 10" hidden="1">
              <a:extLst>
                <a:ext uri="{63B3BB69-23CF-44E3-9099-C40C66FF867C}">
                  <a14:compatExt spid="_x0000_s62474"/>
                </a:ext>
                <a:ext uri="{FF2B5EF4-FFF2-40B4-BE49-F238E27FC236}">
                  <a16:creationId xmlns:a16="http://schemas.microsoft.com/office/drawing/2014/main" id="{00000000-0008-0000-0300-00000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62475" name="Option Button 11" hidden="1">
              <a:extLst>
                <a:ext uri="{63B3BB69-23CF-44E3-9099-C40C66FF867C}">
                  <a14:compatExt spid="_x0000_s62475"/>
                </a:ext>
                <a:ext uri="{FF2B5EF4-FFF2-40B4-BE49-F238E27FC236}">
                  <a16:creationId xmlns:a16="http://schemas.microsoft.com/office/drawing/2014/main" id="{00000000-0008-0000-0300-00000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38</xdr:row>
      <xdr:rowOff>70450</xdr:rowOff>
    </xdr:from>
    <xdr:to>
      <xdr:col>2</xdr:col>
      <xdr:colOff>645534</xdr:colOff>
      <xdr:row>38</xdr:row>
      <xdr:rowOff>332836</xdr:rowOff>
    </xdr:to>
    <xdr:pic>
      <xdr:nvPicPr>
        <xdr:cNvPr id="18" name="Grafik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39</xdr:row>
      <xdr:rowOff>48884</xdr:rowOff>
    </xdr:from>
    <xdr:to>
      <xdr:col>2</xdr:col>
      <xdr:colOff>525673</xdr:colOff>
      <xdr:row>39</xdr:row>
      <xdr:rowOff>345541</xdr:rowOff>
    </xdr:to>
    <xdr:pic>
      <xdr:nvPicPr>
        <xdr:cNvPr id="19" name="Grafik 1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40</xdr:row>
      <xdr:rowOff>48882</xdr:rowOff>
    </xdr:from>
    <xdr:to>
      <xdr:col>2</xdr:col>
      <xdr:colOff>593018</xdr:colOff>
      <xdr:row>40</xdr:row>
      <xdr:rowOff>354401</xdr:rowOff>
    </xdr:to>
    <xdr:pic>
      <xdr:nvPicPr>
        <xdr:cNvPr id="20" name="Grafik 1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41</xdr:row>
      <xdr:rowOff>52477</xdr:rowOff>
    </xdr:from>
    <xdr:to>
      <xdr:col>2</xdr:col>
      <xdr:colOff>597559</xdr:colOff>
      <xdr:row>41</xdr:row>
      <xdr:rowOff>354402</xdr:rowOff>
    </xdr:to>
    <xdr:pic>
      <xdr:nvPicPr>
        <xdr:cNvPr id="21" name="Grafik 1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42</xdr:row>
      <xdr:rowOff>49601</xdr:rowOff>
    </xdr:from>
    <xdr:to>
      <xdr:col>2</xdr:col>
      <xdr:colOff>583183</xdr:colOff>
      <xdr:row>42</xdr:row>
      <xdr:rowOff>354401</xdr:rowOff>
    </xdr:to>
    <xdr:pic>
      <xdr:nvPicPr>
        <xdr:cNvPr id="22" name="Grafik 1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48885</xdr:rowOff>
    </xdr:from>
    <xdr:to>
      <xdr:col>2</xdr:col>
      <xdr:colOff>611935</xdr:colOff>
      <xdr:row>43</xdr:row>
      <xdr:rowOff>357999</xdr:rowOff>
    </xdr:to>
    <xdr:pic>
      <xdr:nvPicPr>
        <xdr:cNvPr id="23" name="Grafik 1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45</xdr:row>
      <xdr:rowOff>45287</xdr:rowOff>
    </xdr:from>
    <xdr:to>
      <xdr:col>2</xdr:col>
      <xdr:colOff>608342</xdr:colOff>
      <xdr:row>45</xdr:row>
      <xdr:rowOff>354400</xdr:rowOff>
    </xdr:to>
    <xdr:pic>
      <xdr:nvPicPr>
        <xdr:cNvPr id="24" name="Grafik 1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47</xdr:row>
      <xdr:rowOff>57730</xdr:rowOff>
    </xdr:from>
    <xdr:to>
      <xdr:col>2</xdr:col>
      <xdr:colOff>640693</xdr:colOff>
      <xdr:row>47</xdr:row>
      <xdr:rowOff>354401</xdr:rowOff>
    </xdr:to>
    <xdr:pic>
      <xdr:nvPicPr>
        <xdr:cNvPr id="25" name="Grafik 17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58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45290</xdr:rowOff>
    </xdr:from>
    <xdr:to>
      <xdr:col>2</xdr:col>
      <xdr:colOff>611935</xdr:colOff>
      <xdr:row>44</xdr:row>
      <xdr:rowOff>354404</xdr:rowOff>
    </xdr:to>
    <xdr:pic>
      <xdr:nvPicPr>
        <xdr:cNvPr id="26" name="Grafik 1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48</xdr:row>
      <xdr:rowOff>54135</xdr:rowOff>
    </xdr:from>
    <xdr:to>
      <xdr:col>2</xdr:col>
      <xdr:colOff>640693</xdr:colOff>
      <xdr:row>48</xdr:row>
      <xdr:rowOff>350806</xdr:rowOff>
    </xdr:to>
    <xdr:pic>
      <xdr:nvPicPr>
        <xdr:cNvPr id="27" name="Grafik 1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3223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49</xdr:row>
      <xdr:rowOff>59666</xdr:rowOff>
    </xdr:from>
    <xdr:to>
      <xdr:col>2</xdr:col>
      <xdr:colOff>567905</xdr:colOff>
      <xdr:row>49</xdr:row>
      <xdr:rowOff>345416</xdr:rowOff>
    </xdr:to>
    <xdr:pic>
      <xdr:nvPicPr>
        <xdr:cNvPr id="29" name="Grafik 1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279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52478</xdr:rowOff>
    </xdr:from>
    <xdr:to>
      <xdr:col>2</xdr:col>
      <xdr:colOff>575814</xdr:colOff>
      <xdr:row>53</xdr:row>
      <xdr:rowOff>347753</xdr:rowOff>
    </xdr:to>
    <xdr:pic>
      <xdr:nvPicPr>
        <xdr:cNvPr id="30" name="Grafik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31" name="Grafik 46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53736</xdr:rowOff>
    </xdr:from>
    <xdr:to>
      <xdr:col>2</xdr:col>
      <xdr:colOff>597556</xdr:colOff>
      <xdr:row>59</xdr:row>
      <xdr:rowOff>355164</xdr:rowOff>
    </xdr:to>
    <xdr:pic>
      <xdr:nvPicPr>
        <xdr:cNvPr id="32" name="Grafik 2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24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56</xdr:row>
      <xdr:rowOff>51008</xdr:rowOff>
    </xdr:from>
    <xdr:to>
      <xdr:col>2</xdr:col>
      <xdr:colOff>514890</xdr:colOff>
      <xdr:row>56</xdr:row>
      <xdr:rowOff>347214</xdr:rowOff>
    </xdr:to>
    <xdr:pic>
      <xdr:nvPicPr>
        <xdr:cNvPr id="33" name="Grafik 69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51195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50141</xdr:rowOff>
    </xdr:from>
    <xdr:to>
      <xdr:col>2</xdr:col>
      <xdr:colOff>597556</xdr:colOff>
      <xdr:row>60</xdr:row>
      <xdr:rowOff>351569</xdr:rowOff>
    </xdr:to>
    <xdr:pic>
      <xdr:nvPicPr>
        <xdr:cNvPr id="34" name="Grafik 2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7188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53735</xdr:rowOff>
    </xdr:from>
    <xdr:to>
      <xdr:col>2</xdr:col>
      <xdr:colOff>597556</xdr:colOff>
      <xdr:row>61</xdr:row>
      <xdr:rowOff>355163</xdr:rowOff>
    </xdr:to>
    <xdr:pic>
      <xdr:nvPicPr>
        <xdr:cNvPr id="35" name="Grafik 2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1225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36" name="Grafik 24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37" name="Grafik 25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68</xdr:row>
      <xdr:rowOff>53736</xdr:rowOff>
    </xdr:from>
    <xdr:to>
      <xdr:col>2</xdr:col>
      <xdr:colOff>554074</xdr:colOff>
      <xdr:row>68</xdr:row>
      <xdr:rowOff>350807</xdr:rowOff>
    </xdr:to>
    <xdr:pic>
      <xdr:nvPicPr>
        <xdr:cNvPr id="38" name="Grafik 1800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99228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71</xdr:row>
      <xdr:rowOff>47805</xdr:rowOff>
    </xdr:from>
    <xdr:to>
      <xdr:col>2</xdr:col>
      <xdr:colOff>569077</xdr:colOff>
      <xdr:row>71</xdr:row>
      <xdr:rowOff>354402</xdr:rowOff>
    </xdr:to>
    <xdr:pic>
      <xdr:nvPicPr>
        <xdr:cNvPr id="39" name="Grafik 1802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207170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72</xdr:row>
      <xdr:rowOff>57330</xdr:rowOff>
    </xdr:from>
    <xdr:to>
      <xdr:col>2</xdr:col>
      <xdr:colOff>629917</xdr:colOff>
      <xdr:row>72</xdr:row>
      <xdr:rowOff>347214</xdr:rowOff>
    </xdr:to>
    <xdr:pic>
      <xdr:nvPicPr>
        <xdr:cNvPr id="40" name="Grafik 86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211266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67</xdr:row>
      <xdr:rowOff>50139</xdr:rowOff>
    </xdr:from>
    <xdr:to>
      <xdr:col>2</xdr:col>
      <xdr:colOff>524416</xdr:colOff>
      <xdr:row>67</xdr:row>
      <xdr:rowOff>354402</xdr:rowOff>
    </xdr:to>
    <xdr:pic>
      <xdr:nvPicPr>
        <xdr:cNvPr id="41" name="Grafik 3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95192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48883</xdr:rowOff>
    </xdr:from>
    <xdr:to>
      <xdr:col>2</xdr:col>
      <xdr:colOff>477051</xdr:colOff>
      <xdr:row>73</xdr:row>
      <xdr:rowOff>350807</xdr:rowOff>
    </xdr:to>
    <xdr:pic>
      <xdr:nvPicPr>
        <xdr:cNvPr id="42" name="Grafik 180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5182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74</xdr:row>
      <xdr:rowOff>52478</xdr:rowOff>
    </xdr:from>
    <xdr:to>
      <xdr:col>2</xdr:col>
      <xdr:colOff>477051</xdr:colOff>
      <xdr:row>74</xdr:row>
      <xdr:rowOff>354402</xdr:rowOff>
    </xdr:to>
    <xdr:pic>
      <xdr:nvPicPr>
        <xdr:cNvPr id="43" name="Grafik 180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19218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75</xdr:row>
      <xdr:rowOff>52478</xdr:rowOff>
    </xdr:from>
    <xdr:to>
      <xdr:col>2</xdr:col>
      <xdr:colOff>600642</xdr:colOff>
      <xdr:row>75</xdr:row>
      <xdr:rowOff>350808</xdr:rowOff>
    </xdr:to>
    <xdr:pic>
      <xdr:nvPicPr>
        <xdr:cNvPr id="44" name="Grafik 1804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23219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78</xdr:row>
      <xdr:rowOff>50143</xdr:rowOff>
    </xdr:from>
    <xdr:to>
      <xdr:col>2</xdr:col>
      <xdr:colOff>496724</xdr:colOff>
      <xdr:row>78</xdr:row>
      <xdr:rowOff>350809</xdr:rowOff>
    </xdr:to>
    <xdr:pic>
      <xdr:nvPicPr>
        <xdr:cNvPr id="48" name="Grafik 180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47198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79</xdr:row>
      <xdr:rowOff>49961</xdr:rowOff>
    </xdr:from>
    <xdr:to>
      <xdr:col>2</xdr:col>
      <xdr:colOff>592475</xdr:colOff>
      <xdr:row>79</xdr:row>
      <xdr:rowOff>354402</xdr:rowOff>
    </xdr:to>
    <xdr:pic>
      <xdr:nvPicPr>
        <xdr:cNvPr id="49" name="Grafik 1810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51197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76</xdr:row>
      <xdr:rowOff>53737</xdr:rowOff>
    </xdr:from>
    <xdr:to>
      <xdr:col>2</xdr:col>
      <xdr:colOff>564622</xdr:colOff>
      <xdr:row>76</xdr:row>
      <xdr:rowOff>347213</xdr:rowOff>
    </xdr:to>
    <xdr:pic>
      <xdr:nvPicPr>
        <xdr:cNvPr id="50" name="Grafik 1805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27232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80</xdr:row>
      <xdr:rowOff>48883</xdr:rowOff>
    </xdr:from>
    <xdr:to>
      <xdr:col>2</xdr:col>
      <xdr:colOff>530349</xdr:colOff>
      <xdr:row>80</xdr:row>
      <xdr:rowOff>350808</xdr:rowOff>
    </xdr:to>
    <xdr:pic>
      <xdr:nvPicPr>
        <xdr:cNvPr id="51" name="Grafik 181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55187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81</xdr:row>
      <xdr:rowOff>52476</xdr:rowOff>
    </xdr:from>
    <xdr:to>
      <xdr:col>2</xdr:col>
      <xdr:colOff>549693</xdr:colOff>
      <xdr:row>81</xdr:row>
      <xdr:rowOff>354402</xdr:rowOff>
    </xdr:to>
    <xdr:pic>
      <xdr:nvPicPr>
        <xdr:cNvPr id="52" name="Grafik 181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59223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82</xdr:row>
      <xdr:rowOff>52477</xdr:rowOff>
    </xdr:from>
    <xdr:to>
      <xdr:col>2</xdr:col>
      <xdr:colOff>503461</xdr:colOff>
      <xdr:row>82</xdr:row>
      <xdr:rowOff>350808</xdr:rowOff>
    </xdr:to>
    <xdr:pic>
      <xdr:nvPicPr>
        <xdr:cNvPr id="53" name="Grafik 181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63224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47445</xdr:rowOff>
    </xdr:from>
    <xdr:to>
      <xdr:col>2</xdr:col>
      <xdr:colOff>564635</xdr:colOff>
      <xdr:row>83</xdr:row>
      <xdr:rowOff>350807</xdr:rowOff>
    </xdr:to>
    <xdr:pic>
      <xdr:nvPicPr>
        <xdr:cNvPr id="54" name="Grafik 1812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7174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51039</xdr:rowOff>
    </xdr:from>
    <xdr:to>
      <xdr:col>2</xdr:col>
      <xdr:colOff>564635</xdr:colOff>
      <xdr:row>84</xdr:row>
      <xdr:rowOff>354401</xdr:rowOff>
    </xdr:to>
    <xdr:pic>
      <xdr:nvPicPr>
        <xdr:cNvPr id="55" name="Grafik 181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1210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47445</xdr:rowOff>
    </xdr:from>
    <xdr:to>
      <xdr:col>2</xdr:col>
      <xdr:colOff>564635</xdr:colOff>
      <xdr:row>85</xdr:row>
      <xdr:rowOff>350807</xdr:rowOff>
    </xdr:to>
    <xdr:pic>
      <xdr:nvPicPr>
        <xdr:cNvPr id="56" name="Grafik 1812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5175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51038</xdr:rowOff>
    </xdr:from>
    <xdr:to>
      <xdr:col>2</xdr:col>
      <xdr:colOff>564635</xdr:colOff>
      <xdr:row>86</xdr:row>
      <xdr:rowOff>354400</xdr:rowOff>
    </xdr:to>
    <xdr:pic>
      <xdr:nvPicPr>
        <xdr:cNvPr id="57" name="Grafik 181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79211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51038</xdr:rowOff>
    </xdr:from>
    <xdr:to>
      <xdr:col>2</xdr:col>
      <xdr:colOff>564635</xdr:colOff>
      <xdr:row>87</xdr:row>
      <xdr:rowOff>354400</xdr:rowOff>
    </xdr:to>
    <xdr:pic>
      <xdr:nvPicPr>
        <xdr:cNvPr id="58" name="Grafik 1812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83212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89</xdr:row>
      <xdr:rowOff>48883</xdr:rowOff>
    </xdr:from>
    <xdr:to>
      <xdr:col>2</xdr:col>
      <xdr:colOff>594684</xdr:colOff>
      <xdr:row>89</xdr:row>
      <xdr:rowOff>353683</xdr:rowOff>
    </xdr:to>
    <xdr:pic>
      <xdr:nvPicPr>
        <xdr:cNvPr id="59" name="Grafik 18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91191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96</xdr:row>
      <xdr:rowOff>53735</xdr:rowOff>
    </xdr:from>
    <xdr:to>
      <xdr:col>2</xdr:col>
      <xdr:colOff>588843</xdr:colOff>
      <xdr:row>96</xdr:row>
      <xdr:rowOff>350807</xdr:rowOff>
    </xdr:to>
    <xdr:pic>
      <xdr:nvPicPr>
        <xdr:cNvPr id="60" name="Grafik 102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315243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90</xdr:row>
      <xdr:rowOff>113401</xdr:rowOff>
    </xdr:from>
    <xdr:to>
      <xdr:col>2</xdr:col>
      <xdr:colOff>554607</xdr:colOff>
      <xdr:row>90</xdr:row>
      <xdr:rowOff>294376</xdr:rowOff>
    </xdr:to>
    <xdr:pic>
      <xdr:nvPicPr>
        <xdr:cNvPr id="65" name="Grafik 5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95837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62476" name="Group Box 12" hidden="1">
              <a:extLst>
                <a:ext uri="{63B3BB69-23CF-44E3-9099-C40C66FF867C}">
                  <a14:compatExt spid="_x0000_s62476"/>
                </a:ext>
                <a:ext uri="{FF2B5EF4-FFF2-40B4-BE49-F238E27FC236}">
                  <a16:creationId xmlns:a16="http://schemas.microsoft.com/office/drawing/2014/main" id="{00000000-0008-0000-0300-00000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373380</xdr:colOff>
          <xdr:row>12</xdr:row>
          <xdr:rowOff>182880</xdr:rowOff>
        </xdr:to>
        <xdr:sp macro="" textlink="">
          <xdr:nvSpPr>
            <xdr:cNvPr id="62477" name="Option Button 13" hidden="1">
              <a:extLst>
                <a:ext uri="{63B3BB69-23CF-44E3-9099-C40C66FF867C}">
                  <a14:compatExt spid="_x0000_s62477"/>
                </a:ext>
                <a:ext uri="{FF2B5EF4-FFF2-40B4-BE49-F238E27FC236}">
                  <a16:creationId xmlns:a16="http://schemas.microsoft.com/office/drawing/2014/main" id="{00000000-0008-0000-0300-00000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609600</xdr:colOff>
          <xdr:row>13</xdr:row>
          <xdr:rowOff>0</xdr:rowOff>
        </xdr:to>
        <xdr:sp macro="" textlink="">
          <xdr:nvSpPr>
            <xdr:cNvPr id="62478" name="Option Button 14" hidden="1">
              <a:extLst>
                <a:ext uri="{63B3BB69-23CF-44E3-9099-C40C66FF867C}">
                  <a14:compatExt spid="_x0000_s62478"/>
                </a:ext>
                <a:ext uri="{FF2B5EF4-FFF2-40B4-BE49-F238E27FC236}">
                  <a16:creationId xmlns:a16="http://schemas.microsoft.com/office/drawing/2014/main" id="{00000000-0008-0000-0300-00000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62479" name="Option Button 15" hidden="1">
              <a:extLst>
                <a:ext uri="{63B3BB69-23CF-44E3-9099-C40C66FF867C}">
                  <a14:compatExt spid="_x0000_s62479"/>
                </a:ext>
                <a:ext uri="{FF2B5EF4-FFF2-40B4-BE49-F238E27FC236}">
                  <a16:creationId xmlns:a16="http://schemas.microsoft.com/office/drawing/2014/main" id="{00000000-0008-0000-0300-00000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62480" name="Option Button 16" hidden="1">
              <a:extLst>
                <a:ext uri="{63B3BB69-23CF-44E3-9099-C40C66FF867C}">
                  <a14:compatExt spid="_x0000_s62480"/>
                </a:ext>
                <a:ext uri="{FF2B5EF4-FFF2-40B4-BE49-F238E27FC236}">
                  <a16:creationId xmlns:a16="http://schemas.microsoft.com/office/drawing/2014/main" id="{00000000-0008-0000-0300-00001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97</xdr:row>
      <xdr:rowOff>166338</xdr:rowOff>
    </xdr:from>
    <xdr:to>
      <xdr:col>2</xdr:col>
      <xdr:colOff>602047</xdr:colOff>
      <xdr:row>97</xdr:row>
      <xdr:rowOff>471520</xdr:rowOff>
    </xdr:to>
    <xdr:pic>
      <xdr:nvPicPr>
        <xdr:cNvPr id="71" name="Grafik 10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20369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144780</xdr:colOff>
          <xdr:row>14</xdr:row>
          <xdr:rowOff>106680</xdr:rowOff>
        </xdr:from>
        <xdr:to>
          <xdr:col>12</xdr:col>
          <xdr:colOff>182880</xdr:colOff>
          <xdr:row>14</xdr:row>
          <xdr:rowOff>144780</xdr:rowOff>
        </xdr:to>
        <xdr:sp macro="" textlink="">
          <xdr:nvSpPr>
            <xdr:cNvPr id="62481" name="Option Button 17" hidden="1">
              <a:extLst>
                <a:ext uri="{63B3BB69-23CF-44E3-9099-C40C66FF867C}">
                  <a14:compatExt spid="_x0000_s62481"/>
                </a:ext>
                <a:ext uri="{FF2B5EF4-FFF2-40B4-BE49-F238E27FC236}">
                  <a16:creationId xmlns:a16="http://schemas.microsoft.com/office/drawing/2014/main" id="{00000000-0008-0000-0300-00001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33</xdr:row>
      <xdr:rowOff>52477</xdr:rowOff>
    </xdr:from>
    <xdr:to>
      <xdr:col>2</xdr:col>
      <xdr:colOff>568804</xdr:colOff>
      <xdr:row>33</xdr:row>
      <xdr:rowOff>354256</xdr:rowOff>
    </xdr:to>
    <xdr:pic>
      <xdr:nvPicPr>
        <xdr:cNvPr id="73" name="Grafik 90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77</xdr:row>
      <xdr:rowOff>54430</xdr:rowOff>
    </xdr:from>
    <xdr:to>
      <xdr:col>2</xdr:col>
      <xdr:colOff>651783</xdr:colOff>
      <xdr:row>77</xdr:row>
      <xdr:rowOff>353368</xdr:rowOff>
    </xdr:to>
    <xdr:pic>
      <xdr:nvPicPr>
        <xdr:cNvPr id="74" name="Grafik 1805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31239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</xdr:row>
      <xdr:rowOff>55404</xdr:rowOff>
    </xdr:from>
    <xdr:to>
      <xdr:col>2</xdr:col>
      <xdr:colOff>593147</xdr:colOff>
      <xdr:row>31</xdr:row>
      <xdr:rowOff>342034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1" t="21573" r="14662" b="13254"/>
        <a:stretch/>
      </xdr:blipFill>
      <xdr:spPr bwMode="auto">
        <a:xfrm>
          <a:off x="1489364" y="5523620"/>
          <a:ext cx="402647" cy="28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32</xdr:row>
      <xdr:rowOff>55545</xdr:rowOff>
    </xdr:from>
    <xdr:to>
      <xdr:col>2</xdr:col>
      <xdr:colOff>533534</xdr:colOff>
      <xdr:row>32</xdr:row>
      <xdr:rowOff>342091</xdr:rowOff>
    </xdr:to>
    <xdr:pic>
      <xdr:nvPicPr>
        <xdr:cNvPr id="79" name="Grafik 1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62482" name="Option Button 18" hidden="1">
              <a:extLst>
                <a:ext uri="{63B3BB69-23CF-44E3-9099-C40C66FF867C}">
                  <a14:compatExt spid="_x0000_s62482"/>
                </a:ext>
                <a:ext uri="{FF2B5EF4-FFF2-40B4-BE49-F238E27FC236}">
                  <a16:creationId xmlns:a16="http://schemas.microsoft.com/office/drawing/2014/main" id="{00000000-0008-0000-0300-00001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108731</xdr:colOff>
      <xdr:row>46</xdr:row>
      <xdr:rowOff>57730</xdr:rowOff>
    </xdr:from>
    <xdr:to>
      <xdr:col>2</xdr:col>
      <xdr:colOff>640693</xdr:colOff>
      <xdr:row>46</xdr:row>
      <xdr:rowOff>354401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52477</xdr:rowOff>
    </xdr:from>
    <xdr:to>
      <xdr:col>2</xdr:col>
      <xdr:colOff>575814</xdr:colOff>
      <xdr:row>55</xdr:row>
      <xdr:rowOff>347752</xdr:rowOff>
    </xdr:to>
    <xdr:pic>
      <xdr:nvPicPr>
        <xdr:cNvPr id="83" name="Grafik 46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84" name="Grafik 2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85" name="Grafik 23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6" name="Grafik 24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5189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87" name="Grafik 24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88" name="Grafik 25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90" name="Grafik 68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91" name="Grafik 68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30</xdr:row>
      <xdr:rowOff>74445</xdr:rowOff>
    </xdr:from>
    <xdr:to>
      <xdr:col>2</xdr:col>
      <xdr:colOff>685800</xdr:colOff>
      <xdr:row>30</xdr:row>
      <xdr:rowOff>382755</xdr:rowOff>
    </xdr:to>
    <xdr:pic>
      <xdr:nvPicPr>
        <xdr:cNvPr id="92" name="Grafik 99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1409700" y="5141745"/>
          <a:ext cx="571500" cy="308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93" name="Grafik 1801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94" name="Grafik 54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593911</xdr:colOff>
      <xdr:row>68</xdr:row>
      <xdr:rowOff>347383</xdr:rowOff>
    </xdr:from>
    <xdr:to>
      <xdr:col>3</xdr:col>
      <xdr:colOff>36109</xdr:colOff>
      <xdr:row>70</xdr:row>
      <xdr:rowOff>33618</xdr:rowOff>
    </xdr:to>
    <xdr:pic>
      <xdr:nvPicPr>
        <xdr:cNvPr id="95" name="Grafik 1800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054" y="19615097"/>
          <a:ext cx="870948" cy="47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62494" name="Group Box 30" hidden="1">
              <a:extLst>
                <a:ext uri="{63B3BB69-23CF-44E3-9099-C40C66FF867C}">
                  <a14:compatExt spid="_x0000_s62494"/>
                </a:ext>
                <a:ext uri="{FF2B5EF4-FFF2-40B4-BE49-F238E27FC236}">
                  <a16:creationId xmlns:a16="http://schemas.microsoft.com/office/drawing/2014/main" id="{00000000-0008-0000-0300-00001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62495" name="Option Button 31" hidden="1">
              <a:extLst>
                <a:ext uri="{63B3BB69-23CF-44E3-9099-C40C66FF867C}">
                  <a14:compatExt spid="_x0000_s62495"/>
                </a:ext>
                <a:ext uri="{FF2B5EF4-FFF2-40B4-BE49-F238E27FC236}">
                  <a16:creationId xmlns:a16="http://schemas.microsoft.com/office/drawing/2014/main" id="{00000000-0008-0000-0300-00001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62496" name="Option Button 32" hidden="1">
              <a:extLst>
                <a:ext uri="{63B3BB69-23CF-44E3-9099-C40C66FF867C}">
                  <a14:compatExt spid="_x0000_s62496"/>
                </a:ext>
                <a:ext uri="{FF2B5EF4-FFF2-40B4-BE49-F238E27FC236}">
                  <a16:creationId xmlns:a16="http://schemas.microsoft.com/office/drawing/2014/main" id="{00000000-0008-0000-0300-00002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7" name="Grafik 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114300</xdr:colOff>
      <xdr:row>0</xdr:row>
      <xdr:rowOff>266701</xdr:rowOff>
    </xdr:from>
    <xdr:to>
      <xdr:col>7</xdr:col>
      <xdr:colOff>583757</xdr:colOff>
      <xdr:row>4</xdr:row>
      <xdr:rowOff>142876</xdr:rowOff>
    </xdr:to>
    <xdr:pic>
      <xdr:nvPicPr>
        <xdr:cNvPr id="98" name="Grafik 99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4" t="19050" r="3207" b="15228"/>
        <a:stretch/>
      </xdr:blipFill>
      <xdr:spPr bwMode="auto">
        <a:xfrm>
          <a:off x="3819525" y="266701"/>
          <a:ext cx="1831532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92</xdr:row>
      <xdr:rowOff>19366</xdr:rowOff>
    </xdr:from>
    <xdr:to>
      <xdr:col>2</xdr:col>
      <xdr:colOff>471118</xdr:colOff>
      <xdr:row>92</xdr:row>
      <xdr:rowOff>391991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9980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457202</xdr:colOff>
      <xdr:row>1</xdr:row>
      <xdr:rowOff>9526</xdr:rowOff>
    </xdr:from>
    <xdr:to>
      <xdr:col>4</xdr:col>
      <xdr:colOff>668685</xdr:colOff>
      <xdr:row>3</xdr:row>
      <xdr:rowOff>142874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2" y="361951"/>
          <a:ext cx="1706908" cy="676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15361" name="Group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15363" name="Group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186692</xdr:colOff>
      <xdr:row>32</xdr:row>
      <xdr:rowOff>114403</xdr:rowOff>
    </xdr:from>
    <xdr:to>
      <xdr:col>2</xdr:col>
      <xdr:colOff>541828</xdr:colOff>
      <xdr:row>32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64681" y="589921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195470</xdr:colOff>
      <xdr:row>33</xdr:row>
      <xdr:rowOff>62318</xdr:rowOff>
    </xdr:from>
    <xdr:to>
      <xdr:col>2</xdr:col>
      <xdr:colOff>594518</xdr:colOff>
      <xdr:row>33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70" y="632976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206270</xdr:colOff>
      <xdr:row>34</xdr:row>
      <xdr:rowOff>57149</xdr:rowOff>
    </xdr:from>
    <xdr:to>
      <xdr:col>2</xdr:col>
      <xdr:colOff>574436</xdr:colOff>
      <xdr:row>34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01670" y="672464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171740</xdr:colOff>
      <xdr:row>35</xdr:row>
      <xdr:rowOff>63500</xdr:rowOff>
    </xdr:from>
    <xdr:to>
      <xdr:col>2</xdr:col>
      <xdr:colOff>615845</xdr:colOff>
      <xdr:row>35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140" y="713105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15370" name="Option Button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15371" name="Option Button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15372" name="Option Button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15373" name="Option Button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15374" name="Option Button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182880</xdr:rowOff>
        </xdr:to>
        <xdr:sp macro="" textlink="">
          <xdr:nvSpPr>
            <xdr:cNvPr id="15375" name="Option Button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15376" name="Option Button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15377" name="Option Button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107471</xdr:colOff>
      <xdr:row>36</xdr:row>
      <xdr:rowOff>79975</xdr:rowOff>
    </xdr:from>
    <xdr:to>
      <xdr:col>2</xdr:col>
      <xdr:colOff>655059</xdr:colOff>
      <xdr:row>36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2871" y="754757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208114</xdr:colOff>
      <xdr:row>37</xdr:row>
      <xdr:rowOff>58409</xdr:rowOff>
    </xdr:from>
    <xdr:to>
      <xdr:col>2</xdr:col>
      <xdr:colOff>535198</xdr:colOff>
      <xdr:row>37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03514" y="792605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136225</xdr:colOff>
      <xdr:row>38</xdr:row>
      <xdr:rowOff>58407</xdr:rowOff>
    </xdr:from>
    <xdr:to>
      <xdr:col>2</xdr:col>
      <xdr:colOff>602543</xdr:colOff>
      <xdr:row>38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31625" y="832610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181293</xdr:colOff>
      <xdr:row>39</xdr:row>
      <xdr:rowOff>62002</xdr:rowOff>
    </xdr:from>
    <xdr:to>
      <xdr:col>2</xdr:col>
      <xdr:colOff>607084</xdr:colOff>
      <xdr:row>39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76693" y="872975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183133</xdr:colOff>
      <xdr:row>40</xdr:row>
      <xdr:rowOff>59126</xdr:rowOff>
    </xdr:from>
    <xdr:to>
      <xdr:col>2</xdr:col>
      <xdr:colOff>592708</xdr:colOff>
      <xdr:row>40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78533" y="912692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41</xdr:row>
      <xdr:rowOff>58410</xdr:rowOff>
    </xdr:from>
    <xdr:to>
      <xdr:col>2</xdr:col>
      <xdr:colOff>621460</xdr:colOff>
      <xdr:row>41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52626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162332</xdr:colOff>
      <xdr:row>43</xdr:row>
      <xdr:rowOff>54812</xdr:rowOff>
    </xdr:from>
    <xdr:to>
      <xdr:col>2</xdr:col>
      <xdr:colOff>617867</xdr:colOff>
      <xdr:row>43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57732" y="1032276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44</xdr:row>
      <xdr:rowOff>67255</xdr:rowOff>
    </xdr:from>
    <xdr:to>
      <xdr:col>2</xdr:col>
      <xdr:colOff>650218</xdr:colOff>
      <xdr:row>44</xdr:row>
      <xdr:rowOff>363926</xdr:rowOff>
    </xdr:to>
    <xdr:pic>
      <xdr:nvPicPr>
        <xdr:cNvPr id="35" name="Grafik 1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42</xdr:row>
      <xdr:rowOff>54815</xdr:rowOff>
    </xdr:from>
    <xdr:to>
      <xdr:col>2</xdr:col>
      <xdr:colOff>621460</xdr:colOff>
      <xdr:row>42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92271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186905</xdr:colOff>
      <xdr:row>47</xdr:row>
      <xdr:rowOff>69191</xdr:rowOff>
    </xdr:from>
    <xdr:to>
      <xdr:col>2</xdr:col>
      <xdr:colOff>577430</xdr:colOff>
      <xdr:row>47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82305" y="1153729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51</xdr:row>
      <xdr:rowOff>62003</xdr:rowOff>
    </xdr:from>
    <xdr:to>
      <xdr:col>2</xdr:col>
      <xdr:colOff>585339</xdr:colOff>
      <xdr:row>51</xdr:row>
      <xdr:rowOff>357278</xdr:rowOff>
    </xdr:to>
    <xdr:pic>
      <xdr:nvPicPr>
        <xdr:cNvPr id="41" name="Grafik 46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33020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52</xdr:row>
      <xdr:rowOff>62002</xdr:rowOff>
    </xdr:from>
    <xdr:to>
      <xdr:col>2</xdr:col>
      <xdr:colOff>585339</xdr:colOff>
      <xdr:row>52</xdr:row>
      <xdr:rowOff>357277</xdr:rowOff>
    </xdr:to>
    <xdr:pic>
      <xdr:nvPicPr>
        <xdr:cNvPr id="43" name="Grafik 46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57</xdr:row>
      <xdr:rowOff>63261</xdr:rowOff>
    </xdr:from>
    <xdr:to>
      <xdr:col>2</xdr:col>
      <xdr:colOff>607081</xdr:colOff>
      <xdr:row>57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393166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260231</xdr:colOff>
      <xdr:row>54</xdr:row>
      <xdr:rowOff>60533</xdr:rowOff>
    </xdr:from>
    <xdr:to>
      <xdr:col>2</xdr:col>
      <xdr:colOff>524415</xdr:colOff>
      <xdr:row>54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55631" y="1312883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58</xdr:row>
      <xdr:rowOff>59666</xdr:rowOff>
    </xdr:from>
    <xdr:to>
      <xdr:col>2</xdr:col>
      <xdr:colOff>607081</xdr:colOff>
      <xdr:row>58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32811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59</xdr:row>
      <xdr:rowOff>63260</xdr:rowOff>
    </xdr:from>
    <xdr:to>
      <xdr:col>2</xdr:col>
      <xdr:colOff>607081</xdr:colOff>
      <xdr:row>59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73176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60</xdr:row>
      <xdr:rowOff>59665</xdr:rowOff>
    </xdr:from>
    <xdr:to>
      <xdr:col>2</xdr:col>
      <xdr:colOff>607081</xdr:colOff>
      <xdr:row>60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512821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218354</xdr:colOff>
      <xdr:row>66</xdr:row>
      <xdr:rowOff>63261</xdr:rowOff>
    </xdr:from>
    <xdr:to>
      <xdr:col>2</xdr:col>
      <xdr:colOff>563599</xdr:colOff>
      <xdr:row>66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13754" y="1633196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159048</xdr:colOff>
      <xdr:row>69</xdr:row>
      <xdr:rowOff>57330</xdr:rowOff>
    </xdr:from>
    <xdr:to>
      <xdr:col>2</xdr:col>
      <xdr:colOff>578602</xdr:colOff>
      <xdr:row>69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54448" y="1712613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138021</xdr:colOff>
      <xdr:row>70</xdr:row>
      <xdr:rowOff>66855</xdr:rowOff>
    </xdr:from>
    <xdr:to>
      <xdr:col>2</xdr:col>
      <xdr:colOff>639442</xdr:colOff>
      <xdr:row>70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33421" y="1753570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229678</xdr:colOff>
      <xdr:row>65</xdr:row>
      <xdr:rowOff>59664</xdr:rowOff>
    </xdr:from>
    <xdr:to>
      <xdr:col>2</xdr:col>
      <xdr:colOff>533941</xdr:colOff>
      <xdr:row>65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25078" y="1592831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71</xdr:row>
      <xdr:rowOff>58408</xdr:rowOff>
    </xdr:from>
    <xdr:to>
      <xdr:col>2</xdr:col>
      <xdr:colOff>486576</xdr:colOff>
      <xdr:row>71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792730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72</xdr:row>
      <xdr:rowOff>62003</xdr:rowOff>
    </xdr:from>
    <xdr:to>
      <xdr:col>2</xdr:col>
      <xdr:colOff>486576</xdr:colOff>
      <xdr:row>72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833095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142515</xdr:colOff>
      <xdr:row>73</xdr:row>
      <xdr:rowOff>62003</xdr:rowOff>
    </xdr:from>
    <xdr:to>
      <xdr:col>2</xdr:col>
      <xdr:colOff>610167</xdr:colOff>
      <xdr:row>73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37915" y="1873100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246214</xdr:colOff>
      <xdr:row>76</xdr:row>
      <xdr:rowOff>59668</xdr:rowOff>
    </xdr:from>
    <xdr:to>
      <xdr:col>2</xdr:col>
      <xdr:colOff>506249</xdr:colOff>
      <xdr:row>76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41614" y="2112896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181155</xdr:colOff>
      <xdr:row>77</xdr:row>
      <xdr:rowOff>59486</xdr:rowOff>
    </xdr:from>
    <xdr:to>
      <xdr:col>2</xdr:col>
      <xdr:colOff>602000</xdr:colOff>
      <xdr:row>77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76555" y="2152883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203440</xdr:colOff>
      <xdr:row>74</xdr:row>
      <xdr:rowOff>63262</xdr:rowOff>
    </xdr:from>
    <xdr:to>
      <xdr:col>2</xdr:col>
      <xdr:colOff>574147</xdr:colOff>
      <xdr:row>74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98840" y="1913231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263109</xdr:colOff>
      <xdr:row>78</xdr:row>
      <xdr:rowOff>58408</xdr:rowOff>
    </xdr:from>
    <xdr:to>
      <xdr:col>2</xdr:col>
      <xdr:colOff>539874</xdr:colOff>
      <xdr:row>78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58509" y="2192780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221771</xdr:colOff>
      <xdr:row>79</xdr:row>
      <xdr:rowOff>62001</xdr:rowOff>
    </xdr:from>
    <xdr:to>
      <xdr:col>2</xdr:col>
      <xdr:colOff>559218</xdr:colOff>
      <xdr:row>79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17171" y="2233145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238844</xdr:colOff>
      <xdr:row>80</xdr:row>
      <xdr:rowOff>62002</xdr:rowOff>
    </xdr:from>
    <xdr:to>
      <xdr:col>2</xdr:col>
      <xdr:colOff>512986</xdr:colOff>
      <xdr:row>80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34244" y="2273150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81</xdr:row>
      <xdr:rowOff>56970</xdr:rowOff>
    </xdr:from>
    <xdr:to>
      <xdr:col>2</xdr:col>
      <xdr:colOff>574160</xdr:colOff>
      <xdr:row>81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1265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82</xdr:row>
      <xdr:rowOff>60564</xdr:rowOff>
    </xdr:from>
    <xdr:to>
      <xdr:col>2</xdr:col>
      <xdr:colOff>574160</xdr:colOff>
      <xdr:row>82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53016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83</xdr:row>
      <xdr:rowOff>56970</xdr:rowOff>
    </xdr:from>
    <xdr:to>
      <xdr:col>2</xdr:col>
      <xdr:colOff>574160</xdr:colOff>
      <xdr:row>83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9266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84</xdr:row>
      <xdr:rowOff>60563</xdr:rowOff>
    </xdr:from>
    <xdr:to>
      <xdr:col>2</xdr:col>
      <xdr:colOff>574160</xdr:colOff>
      <xdr:row>84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3302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85</xdr:row>
      <xdr:rowOff>60563</xdr:rowOff>
    </xdr:from>
    <xdr:to>
      <xdr:col>2</xdr:col>
      <xdr:colOff>574160</xdr:colOff>
      <xdr:row>85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147009</xdr:colOff>
      <xdr:row>87</xdr:row>
      <xdr:rowOff>58408</xdr:rowOff>
    </xdr:from>
    <xdr:to>
      <xdr:col>2</xdr:col>
      <xdr:colOff>604209</xdr:colOff>
      <xdr:row>87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409" y="2552825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152760</xdr:colOff>
      <xdr:row>94</xdr:row>
      <xdr:rowOff>63260</xdr:rowOff>
    </xdr:from>
    <xdr:to>
      <xdr:col>2</xdr:col>
      <xdr:colOff>598368</xdr:colOff>
      <xdr:row>94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160" y="2713331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221232</xdr:colOff>
      <xdr:row>88</xdr:row>
      <xdr:rowOff>122926</xdr:rowOff>
    </xdr:from>
    <xdr:to>
      <xdr:col>2</xdr:col>
      <xdr:colOff>564132</xdr:colOff>
      <xdr:row>88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16632" y="2599282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15378" name="Group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457200</xdr:colOff>
          <xdr:row>8</xdr:row>
          <xdr:rowOff>182880</xdr:rowOff>
        </xdr:to>
        <xdr:sp macro="" textlink="">
          <xdr:nvSpPr>
            <xdr:cNvPr id="15384" name="Option Button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15385" name="Option Button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150078</xdr:colOff>
      <xdr:row>95</xdr:row>
      <xdr:rowOff>147288</xdr:rowOff>
    </xdr:from>
    <xdr:to>
      <xdr:col>2</xdr:col>
      <xdr:colOff>611572</xdr:colOff>
      <xdr:row>95</xdr:row>
      <xdr:rowOff>452470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45478" y="276173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106680</xdr:colOff>
          <xdr:row>14</xdr:row>
          <xdr:rowOff>121920</xdr:rowOff>
        </xdr:from>
        <xdr:to>
          <xdr:col>12</xdr:col>
          <xdr:colOff>152400</xdr:colOff>
          <xdr:row>14</xdr:row>
          <xdr:rowOff>182880</xdr:rowOff>
        </xdr:to>
        <xdr:sp macro="" textlink="">
          <xdr:nvSpPr>
            <xdr:cNvPr id="15387" name="Option Button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193197</xdr:colOff>
      <xdr:row>31</xdr:row>
      <xdr:rowOff>62002</xdr:rowOff>
    </xdr:from>
    <xdr:to>
      <xdr:col>2</xdr:col>
      <xdr:colOff>578329</xdr:colOff>
      <xdr:row>31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88597" y="552935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184750</xdr:colOff>
      <xdr:row>30</xdr:row>
      <xdr:rowOff>54815</xdr:rowOff>
    </xdr:from>
    <xdr:to>
      <xdr:col>2</xdr:col>
      <xdr:colOff>593434</xdr:colOff>
      <xdr:row>30</xdr:row>
      <xdr:rowOff>367522</xdr:rowOff>
    </xdr:to>
    <xdr:pic>
      <xdr:nvPicPr>
        <xdr:cNvPr id="94" name="Grafik 107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5" t="7690" r="10989" b="10440"/>
        <a:stretch>
          <a:fillRect/>
        </a:stretch>
      </xdr:blipFill>
      <xdr:spPr bwMode="auto">
        <a:xfrm>
          <a:off x="1480150" y="5122115"/>
          <a:ext cx="408684" cy="31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198120</xdr:colOff>
          <xdr:row>67</xdr:row>
          <xdr:rowOff>68580</xdr:rowOff>
        </xdr:from>
        <xdr:to>
          <xdr:col>2</xdr:col>
          <xdr:colOff>609600</xdr:colOff>
          <xdr:row>67</xdr:row>
          <xdr:rowOff>373380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106137</xdr:colOff>
      <xdr:row>75</xdr:row>
      <xdr:rowOff>63955</xdr:rowOff>
    </xdr:from>
    <xdr:to>
      <xdr:col>2</xdr:col>
      <xdr:colOff>661308</xdr:colOff>
      <xdr:row>75</xdr:row>
      <xdr:rowOff>362893</xdr:rowOff>
    </xdr:to>
    <xdr:pic>
      <xdr:nvPicPr>
        <xdr:cNvPr id="96" name="Grafik 180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01537" y="1953305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15389" name="Option Button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297180</xdr:colOff>
          <xdr:row>12</xdr:row>
          <xdr:rowOff>182880</xdr:rowOff>
        </xdr:to>
        <xdr:sp macro="" textlink="">
          <xdr:nvSpPr>
            <xdr:cNvPr id="15390" name="Option Button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640080</xdr:colOff>
          <xdr:row>12</xdr:row>
          <xdr:rowOff>182880</xdr:rowOff>
        </xdr:to>
        <xdr:sp macro="" textlink="">
          <xdr:nvSpPr>
            <xdr:cNvPr id="15391" name="Option Button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63660</xdr:rowOff>
    </xdr:from>
    <xdr:to>
      <xdr:col>2</xdr:col>
      <xdr:colOff>650218</xdr:colOff>
      <xdr:row>45</xdr:row>
      <xdr:rowOff>360331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62002</xdr:rowOff>
    </xdr:from>
    <xdr:to>
      <xdr:col>2</xdr:col>
      <xdr:colOff>585339</xdr:colOff>
      <xdr:row>53</xdr:row>
      <xdr:rowOff>357277</xdr:rowOff>
    </xdr:to>
    <xdr:pic>
      <xdr:nvPicPr>
        <xdr:cNvPr id="82" name="Grafik 46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84" name="Grafik 2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55</xdr:row>
      <xdr:rowOff>32133</xdr:rowOff>
    </xdr:from>
    <xdr:to>
      <xdr:col>2</xdr:col>
      <xdr:colOff>645842</xdr:colOff>
      <xdr:row>55</xdr:row>
      <xdr:rowOff>394938</xdr:rowOff>
    </xdr:to>
    <xdr:pic>
      <xdr:nvPicPr>
        <xdr:cNvPr id="86" name="Grafik 23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87" name="Grafik 24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50140</xdr:rowOff>
    </xdr:from>
    <xdr:to>
      <xdr:col>2</xdr:col>
      <xdr:colOff>597556</xdr:colOff>
      <xdr:row>61</xdr:row>
      <xdr:rowOff>351568</xdr:rowOff>
    </xdr:to>
    <xdr:pic>
      <xdr:nvPicPr>
        <xdr:cNvPr id="88" name="Grafik 24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0" name="Grafik 25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63</xdr:row>
      <xdr:rowOff>52478</xdr:rowOff>
    </xdr:from>
    <xdr:to>
      <xdr:col>2</xdr:col>
      <xdr:colOff>588516</xdr:colOff>
      <xdr:row>63</xdr:row>
      <xdr:rowOff>347214</xdr:rowOff>
    </xdr:to>
    <xdr:pic>
      <xdr:nvPicPr>
        <xdr:cNvPr id="91" name="Grafik 25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93</xdr:row>
      <xdr:rowOff>63027</xdr:rowOff>
    </xdr:from>
    <xdr:to>
      <xdr:col>2</xdr:col>
      <xdr:colOff>607876</xdr:colOff>
      <xdr:row>93</xdr:row>
      <xdr:rowOff>337922</xdr:rowOff>
    </xdr:to>
    <xdr:pic>
      <xdr:nvPicPr>
        <xdr:cNvPr id="92" name="Grafik 68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92</xdr:row>
      <xdr:rowOff>86183</xdr:rowOff>
    </xdr:from>
    <xdr:to>
      <xdr:col>2</xdr:col>
      <xdr:colOff>637189</xdr:colOff>
      <xdr:row>92</xdr:row>
      <xdr:rowOff>357629</xdr:rowOff>
    </xdr:to>
    <xdr:pic>
      <xdr:nvPicPr>
        <xdr:cNvPr id="95" name="Grafik 68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68</xdr:row>
      <xdr:rowOff>34380</xdr:rowOff>
    </xdr:from>
    <xdr:to>
      <xdr:col>2</xdr:col>
      <xdr:colOff>621565</xdr:colOff>
      <xdr:row>68</xdr:row>
      <xdr:rowOff>380999</xdr:rowOff>
    </xdr:to>
    <xdr:pic>
      <xdr:nvPicPr>
        <xdr:cNvPr id="97" name="Grafik 1801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11036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89</xdr:row>
      <xdr:rowOff>71438</xdr:rowOff>
    </xdr:from>
    <xdr:to>
      <xdr:col>2</xdr:col>
      <xdr:colOff>565715</xdr:colOff>
      <xdr:row>89</xdr:row>
      <xdr:rowOff>330653</xdr:rowOff>
    </xdr:to>
    <xdr:pic>
      <xdr:nvPicPr>
        <xdr:cNvPr id="98" name="Grafik 5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54178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15399" name="Group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15400" name="Option Button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15401" name="Option Button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4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99" name="Grafik 4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0</xdr:row>
      <xdr:rowOff>200026</xdr:rowOff>
    </xdr:from>
    <xdr:to>
      <xdr:col>7</xdr:col>
      <xdr:colOff>476236</xdr:colOff>
      <xdr:row>5</xdr:row>
      <xdr:rowOff>85726</xdr:rowOff>
    </xdr:to>
    <xdr:pic>
      <xdr:nvPicPr>
        <xdr:cNvPr id="100" name="Grafik 27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3" t="5950" r="8283" b="11209"/>
        <a:stretch/>
      </xdr:blipFill>
      <xdr:spPr bwMode="auto">
        <a:xfrm>
          <a:off x="3914775" y="200026"/>
          <a:ext cx="1628761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91</xdr:row>
      <xdr:rowOff>18316</xdr:rowOff>
    </xdr:from>
    <xdr:to>
      <xdr:col>2</xdr:col>
      <xdr:colOff>532488</xdr:colOff>
      <xdr:row>91</xdr:row>
      <xdr:rowOff>373673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90</xdr:row>
      <xdr:rowOff>19366</xdr:rowOff>
    </xdr:from>
    <xdr:to>
      <xdr:col>2</xdr:col>
      <xdr:colOff>471118</xdr:colOff>
      <xdr:row>90</xdr:row>
      <xdr:rowOff>391991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19980" y="304517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48</xdr:row>
      <xdr:rowOff>30078</xdr:rowOff>
    </xdr:from>
    <xdr:to>
      <xdr:col>2</xdr:col>
      <xdr:colOff>643566</xdr:colOff>
      <xdr:row>48</xdr:row>
      <xdr:rowOff>390196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32083</xdr:rowOff>
    </xdr:from>
    <xdr:to>
      <xdr:col>2</xdr:col>
      <xdr:colOff>643566</xdr:colOff>
      <xdr:row>49</xdr:row>
      <xdr:rowOff>392201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50</xdr:row>
      <xdr:rowOff>17545</xdr:rowOff>
    </xdr:from>
    <xdr:to>
      <xdr:col>2</xdr:col>
      <xdr:colOff>636671</xdr:colOff>
      <xdr:row>50</xdr:row>
      <xdr:rowOff>393834</xdr:rowOff>
    </xdr:to>
    <xdr:pic>
      <xdr:nvPicPr>
        <xdr:cNvPr id="105" name="Grafik 20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86</xdr:row>
      <xdr:rowOff>33340</xdr:rowOff>
    </xdr:from>
    <xdr:to>
      <xdr:col>2</xdr:col>
      <xdr:colOff>686247</xdr:colOff>
      <xdr:row>86</xdr:row>
      <xdr:rowOff>370378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</xdr:row>
      <xdr:rowOff>66675</xdr:rowOff>
    </xdr:from>
    <xdr:to>
      <xdr:col>4</xdr:col>
      <xdr:colOff>602008</xdr:colOff>
      <xdr:row>3</xdr:row>
      <xdr:rowOff>200023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85925" y="419100"/>
          <a:ext cx="1706908" cy="676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34817" name="Group Box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5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34819" name="Group Box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5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196217</xdr:colOff>
      <xdr:row>34</xdr:row>
      <xdr:rowOff>104878</xdr:rowOff>
    </xdr:from>
    <xdr:to>
      <xdr:col>2</xdr:col>
      <xdr:colOff>551353</xdr:colOff>
      <xdr:row>34</xdr:row>
      <xdr:rowOff>294835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7420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204995</xdr:colOff>
      <xdr:row>35</xdr:row>
      <xdr:rowOff>52793</xdr:rowOff>
    </xdr:from>
    <xdr:to>
      <xdr:col>2</xdr:col>
      <xdr:colOff>604043</xdr:colOff>
      <xdr:row>35</xdr:row>
      <xdr:rowOff>347663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39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215795</xdr:colOff>
      <xdr:row>36</xdr:row>
      <xdr:rowOff>47624</xdr:rowOff>
    </xdr:from>
    <xdr:to>
      <xdr:col>2</xdr:col>
      <xdr:colOff>583961</xdr:colOff>
      <xdr:row>36</xdr:row>
      <xdr:rowOff>354805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1119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181265</xdr:colOff>
      <xdr:row>37</xdr:row>
      <xdr:rowOff>53975</xdr:rowOff>
    </xdr:from>
    <xdr:to>
      <xdr:col>2</xdr:col>
      <xdr:colOff>625370</xdr:colOff>
      <xdr:row>37</xdr:row>
      <xdr:rowOff>350045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66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34825" name="Option Button 9" hidden="1">
              <a:extLst>
                <a:ext uri="{63B3BB69-23CF-44E3-9099-C40C66FF867C}">
                  <a14:compatExt spid="_x0000_s34825"/>
                </a:ext>
                <a:ext uri="{FF2B5EF4-FFF2-40B4-BE49-F238E27FC236}">
                  <a16:creationId xmlns:a16="http://schemas.microsoft.com/office/drawing/2014/main" id="{00000000-0008-0000-0500-00000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34826" name="Option Button 10" hidden="1">
              <a:extLst>
                <a:ext uri="{63B3BB69-23CF-44E3-9099-C40C66FF867C}">
                  <a14:compatExt spid="_x0000_s34826"/>
                </a:ext>
                <a:ext uri="{FF2B5EF4-FFF2-40B4-BE49-F238E27FC236}">
                  <a16:creationId xmlns:a16="http://schemas.microsoft.com/office/drawing/2014/main" id="{00000000-0008-0000-0500-00000A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34827" name="Option Button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5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34828" name="Option Button 12" hidden="1">
              <a:extLst>
                <a:ext uri="{63B3BB69-23CF-44E3-9099-C40C66FF867C}">
                  <a14:compatExt spid="_x0000_s34828"/>
                </a:ext>
                <a:ext uri="{FF2B5EF4-FFF2-40B4-BE49-F238E27FC236}">
                  <a16:creationId xmlns:a16="http://schemas.microsoft.com/office/drawing/2014/main" id="{00000000-0008-0000-0500-00000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15</xdr:row>
          <xdr:rowOff>182880</xdr:rowOff>
        </xdr:to>
        <xdr:sp macro="" textlink="">
          <xdr:nvSpPr>
            <xdr:cNvPr id="34829" name="Option Button 13" hidden="1">
              <a:extLst>
                <a:ext uri="{63B3BB69-23CF-44E3-9099-C40C66FF867C}">
                  <a14:compatExt spid="_x0000_s34829"/>
                </a:ext>
                <a:ext uri="{FF2B5EF4-FFF2-40B4-BE49-F238E27FC236}">
                  <a16:creationId xmlns:a16="http://schemas.microsoft.com/office/drawing/2014/main" id="{00000000-0008-0000-0500-00000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34830" name="Option Button 14" hidden="1">
              <a:extLst>
                <a:ext uri="{63B3BB69-23CF-44E3-9099-C40C66FF867C}">
                  <a14:compatExt spid="_x0000_s34830"/>
                </a:ext>
                <a:ext uri="{FF2B5EF4-FFF2-40B4-BE49-F238E27FC236}">
                  <a16:creationId xmlns:a16="http://schemas.microsoft.com/office/drawing/2014/main" id="{00000000-0008-0000-0500-00000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34831" name="Option Button 15" hidden="1">
              <a:extLst>
                <a:ext uri="{63B3BB69-23CF-44E3-9099-C40C66FF867C}">
                  <a14:compatExt spid="_x0000_s34831"/>
                </a:ext>
                <a:ext uri="{FF2B5EF4-FFF2-40B4-BE49-F238E27FC236}">
                  <a16:creationId xmlns:a16="http://schemas.microsoft.com/office/drawing/2014/main" id="{00000000-0008-0000-0500-00000F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34832" name="Option Button 16" hidden="1">
              <a:extLst>
                <a:ext uri="{63B3BB69-23CF-44E3-9099-C40C66FF867C}">
                  <a14:compatExt spid="_x0000_s34832"/>
                </a:ext>
                <a:ext uri="{FF2B5EF4-FFF2-40B4-BE49-F238E27FC236}">
                  <a16:creationId xmlns:a16="http://schemas.microsoft.com/office/drawing/2014/main" id="{00000000-0008-0000-0500-000010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34833" name="Option Button 17" hidden="1">
              <a:extLst>
                <a:ext uri="{63B3BB69-23CF-44E3-9099-C40C66FF867C}">
                  <a14:compatExt spid="_x0000_s34833"/>
                </a:ext>
                <a:ext uri="{FF2B5EF4-FFF2-40B4-BE49-F238E27FC236}">
                  <a16:creationId xmlns:a16="http://schemas.microsoft.com/office/drawing/2014/main" id="{00000000-0008-0000-0500-00001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116996</xdr:colOff>
      <xdr:row>38</xdr:row>
      <xdr:rowOff>70450</xdr:rowOff>
    </xdr:from>
    <xdr:to>
      <xdr:col>2</xdr:col>
      <xdr:colOff>664584</xdr:colOff>
      <xdr:row>38</xdr:row>
      <xdr:rowOff>332836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1239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217639</xdr:colOff>
      <xdr:row>39</xdr:row>
      <xdr:rowOff>48884</xdr:rowOff>
    </xdr:from>
    <xdr:to>
      <xdr:col>2</xdr:col>
      <xdr:colOff>544723</xdr:colOff>
      <xdr:row>39</xdr:row>
      <xdr:rowOff>345541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1303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145750</xdr:colOff>
      <xdr:row>40</xdr:row>
      <xdr:rowOff>48882</xdr:rowOff>
    </xdr:from>
    <xdr:to>
      <xdr:col>2</xdr:col>
      <xdr:colOff>612068</xdr:colOff>
      <xdr:row>40</xdr:row>
      <xdr:rowOff>354401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4115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190818</xdr:colOff>
      <xdr:row>41</xdr:row>
      <xdr:rowOff>52477</xdr:rowOff>
    </xdr:from>
    <xdr:to>
      <xdr:col>2</xdr:col>
      <xdr:colOff>616609</xdr:colOff>
      <xdr:row>41</xdr:row>
      <xdr:rowOff>354402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8621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192658</xdr:colOff>
      <xdr:row>42</xdr:row>
      <xdr:rowOff>49601</xdr:rowOff>
    </xdr:from>
    <xdr:to>
      <xdr:col>2</xdr:col>
      <xdr:colOff>602233</xdr:colOff>
      <xdr:row>42</xdr:row>
      <xdr:rowOff>354401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8805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43</xdr:row>
      <xdr:rowOff>48885</xdr:rowOff>
    </xdr:from>
    <xdr:to>
      <xdr:col>2</xdr:col>
      <xdr:colOff>630985</xdr:colOff>
      <xdr:row>43</xdr:row>
      <xdr:rowOff>357999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171857</xdr:colOff>
      <xdr:row>45</xdr:row>
      <xdr:rowOff>45287</xdr:rowOff>
    </xdr:from>
    <xdr:to>
      <xdr:col>2</xdr:col>
      <xdr:colOff>627392</xdr:colOff>
      <xdr:row>45</xdr:row>
      <xdr:rowOff>354400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6725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44</xdr:row>
      <xdr:rowOff>45290</xdr:rowOff>
    </xdr:from>
    <xdr:to>
      <xdr:col>2</xdr:col>
      <xdr:colOff>630985</xdr:colOff>
      <xdr:row>44</xdr:row>
      <xdr:rowOff>354404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196430</xdr:colOff>
      <xdr:row>49</xdr:row>
      <xdr:rowOff>59666</xdr:rowOff>
    </xdr:from>
    <xdr:to>
      <xdr:col>2</xdr:col>
      <xdr:colOff>586955</xdr:colOff>
      <xdr:row>49</xdr:row>
      <xdr:rowOff>345416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9183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59</xdr:row>
      <xdr:rowOff>53736</xdr:rowOff>
    </xdr:from>
    <xdr:to>
      <xdr:col>2</xdr:col>
      <xdr:colOff>616606</xdr:colOff>
      <xdr:row>59</xdr:row>
      <xdr:rowOff>355164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47222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269756</xdr:colOff>
      <xdr:row>56</xdr:row>
      <xdr:rowOff>51008</xdr:rowOff>
    </xdr:from>
    <xdr:to>
      <xdr:col>2</xdr:col>
      <xdr:colOff>533940</xdr:colOff>
      <xdr:row>56</xdr:row>
      <xdr:rowOff>347214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65156" y="139194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60</xdr:row>
      <xdr:rowOff>50141</xdr:rowOff>
    </xdr:from>
    <xdr:to>
      <xdr:col>2</xdr:col>
      <xdr:colOff>616606</xdr:colOff>
      <xdr:row>60</xdr:row>
      <xdr:rowOff>351569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1186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61</xdr:row>
      <xdr:rowOff>53735</xdr:rowOff>
    </xdr:from>
    <xdr:to>
      <xdr:col>2</xdr:col>
      <xdr:colOff>616606</xdr:colOff>
      <xdr:row>61</xdr:row>
      <xdr:rowOff>355163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5223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62</xdr:row>
      <xdr:rowOff>50140</xdr:rowOff>
    </xdr:from>
    <xdr:to>
      <xdr:col>2</xdr:col>
      <xdr:colOff>616606</xdr:colOff>
      <xdr:row>62</xdr:row>
      <xdr:rowOff>351568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9187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227879</xdr:colOff>
      <xdr:row>68</xdr:row>
      <xdr:rowOff>53736</xdr:rowOff>
    </xdr:from>
    <xdr:to>
      <xdr:col>2</xdr:col>
      <xdr:colOff>573124</xdr:colOff>
      <xdr:row>68</xdr:row>
      <xdr:rowOff>350807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23279" y="171225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168573</xdr:colOff>
      <xdr:row>71</xdr:row>
      <xdr:rowOff>47805</xdr:rowOff>
    </xdr:from>
    <xdr:to>
      <xdr:col>2</xdr:col>
      <xdr:colOff>588127</xdr:colOff>
      <xdr:row>71</xdr:row>
      <xdr:rowOff>354402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63973" y="179167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147546</xdr:colOff>
      <xdr:row>72</xdr:row>
      <xdr:rowOff>57330</xdr:rowOff>
    </xdr:from>
    <xdr:to>
      <xdr:col>2</xdr:col>
      <xdr:colOff>648967</xdr:colOff>
      <xdr:row>72</xdr:row>
      <xdr:rowOff>347214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42946" y="183262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239203</xdr:colOff>
      <xdr:row>67</xdr:row>
      <xdr:rowOff>50139</xdr:rowOff>
    </xdr:from>
    <xdr:to>
      <xdr:col>2</xdr:col>
      <xdr:colOff>543466</xdr:colOff>
      <xdr:row>67</xdr:row>
      <xdr:rowOff>354402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34603" y="167188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73</xdr:row>
      <xdr:rowOff>48883</xdr:rowOff>
    </xdr:from>
    <xdr:to>
      <xdr:col>2</xdr:col>
      <xdr:colOff>496101</xdr:colOff>
      <xdr:row>73</xdr:row>
      <xdr:rowOff>350807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87178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74</xdr:row>
      <xdr:rowOff>52478</xdr:rowOff>
    </xdr:from>
    <xdr:to>
      <xdr:col>2</xdr:col>
      <xdr:colOff>496101</xdr:colOff>
      <xdr:row>74</xdr:row>
      <xdr:rowOff>354402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91215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152040</xdr:colOff>
      <xdr:row>75</xdr:row>
      <xdr:rowOff>52478</xdr:rowOff>
    </xdr:from>
    <xdr:to>
      <xdr:col>2</xdr:col>
      <xdr:colOff>619692</xdr:colOff>
      <xdr:row>75</xdr:row>
      <xdr:rowOff>350808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47440" y="195215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255739</xdr:colOff>
      <xdr:row>78</xdr:row>
      <xdr:rowOff>50143</xdr:rowOff>
    </xdr:from>
    <xdr:to>
      <xdr:col>2</xdr:col>
      <xdr:colOff>515774</xdr:colOff>
      <xdr:row>78</xdr:row>
      <xdr:rowOff>350809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51139" y="219195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190680</xdr:colOff>
      <xdr:row>79</xdr:row>
      <xdr:rowOff>49961</xdr:rowOff>
    </xdr:from>
    <xdr:to>
      <xdr:col>2</xdr:col>
      <xdr:colOff>611525</xdr:colOff>
      <xdr:row>79</xdr:row>
      <xdr:rowOff>354402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86080" y="223194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212965</xdr:colOff>
      <xdr:row>76</xdr:row>
      <xdr:rowOff>53737</xdr:rowOff>
    </xdr:from>
    <xdr:to>
      <xdr:col>2</xdr:col>
      <xdr:colOff>583672</xdr:colOff>
      <xdr:row>76</xdr:row>
      <xdr:rowOff>347213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508365" y="199228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272634</xdr:colOff>
      <xdr:row>80</xdr:row>
      <xdr:rowOff>48883</xdr:rowOff>
    </xdr:from>
    <xdr:to>
      <xdr:col>2</xdr:col>
      <xdr:colOff>549399</xdr:colOff>
      <xdr:row>80</xdr:row>
      <xdr:rowOff>350808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68034" y="227183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231296</xdr:colOff>
      <xdr:row>81</xdr:row>
      <xdr:rowOff>52476</xdr:rowOff>
    </xdr:from>
    <xdr:to>
      <xdr:col>2</xdr:col>
      <xdr:colOff>568743</xdr:colOff>
      <xdr:row>81</xdr:row>
      <xdr:rowOff>354402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26696" y="231220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248369</xdr:colOff>
      <xdr:row>82</xdr:row>
      <xdr:rowOff>52477</xdr:rowOff>
    </xdr:from>
    <xdr:to>
      <xdr:col>2</xdr:col>
      <xdr:colOff>522511</xdr:colOff>
      <xdr:row>82</xdr:row>
      <xdr:rowOff>350808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43769" y="235220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83</xdr:row>
      <xdr:rowOff>47445</xdr:rowOff>
    </xdr:from>
    <xdr:to>
      <xdr:col>2</xdr:col>
      <xdr:colOff>583685</xdr:colOff>
      <xdr:row>83</xdr:row>
      <xdr:rowOff>350807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39170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84</xdr:row>
      <xdr:rowOff>51039</xdr:rowOff>
    </xdr:from>
    <xdr:to>
      <xdr:col>2</xdr:col>
      <xdr:colOff>583685</xdr:colOff>
      <xdr:row>84</xdr:row>
      <xdr:rowOff>354401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3207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85</xdr:row>
      <xdr:rowOff>47445</xdr:rowOff>
    </xdr:from>
    <xdr:to>
      <xdr:col>2</xdr:col>
      <xdr:colOff>583685</xdr:colOff>
      <xdr:row>85</xdr:row>
      <xdr:rowOff>350807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7171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86</xdr:row>
      <xdr:rowOff>51038</xdr:rowOff>
    </xdr:from>
    <xdr:to>
      <xdr:col>2</xdr:col>
      <xdr:colOff>583685</xdr:colOff>
      <xdr:row>86</xdr:row>
      <xdr:rowOff>354400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1208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87</xdr:row>
      <xdr:rowOff>51038</xdr:rowOff>
    </xdr:from>
    <xdr:to>
      <xdr:col>2</xdr:col>
      <xdr:colOff>583685</xdr:colOff>
      <xdr:row>87</xdr:row>
      <xdr:rowOff>354400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156534</xdr:colOff>
      <xdr:row>89</xdr:row>
      <xdr:rowOff>48883</xdr:rowOff>
    </xdr:from>
    <xdr:to>
      <xdr:col>2</xdr:col>
      <xdr:colOff>613734</xdr:colOff>
      <xdr:row>89</xdr:row>
      <xdr:rowOff>353683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934" y="263188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162285</xdr:colOff>
      <xdr:row>96</xdr:row>
      <xdr:rowOff>53735</xdr:rowOff>
    </xdr:from>
    <xdr:to>
      <xdr:col>2</xdr:col>
      <xdr:colOff>607893</xdr:colOff>
      <xdr:row>96</xdr:row>
      <xdr:rowOff>350807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85" y="279238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230757</xdr:colOff>
      <xdr:row>90</xdr:row>
      <xdr:rowOff>113401</xdr:rowOff>
    </xdr:from>
    <xdr:to>
      <xdr:col>2</xdr:col>
      <xdr:colOff>573657</xdr:colOff>
      <xdr:row>90</xdr:row>
      <xdr:rowOff>294376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26157" y="267834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34834" name="Group Box 18" hidden="1">
              <a:extLst>
                <a:ext uri="{63B3BB69-23CF-44E3-9099-C40C66FF867C}">
                  <a14:compatExt spid="_x0000_s34834"/>
                </a:ext>
                <a:ext uri="{FF2B5EF4-FFF2-40B4-BE49-F238E27FC236}">
                  <a16:creationId xmlns:a16="http://schemas.microsoft.com/office/drawing/2014/main" id="{00000000-0008-0000-0500-00001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  <a:ext uri="{FF2B5EF4-FFF2-40B4-BE49-F238E27FC236}">
                  <a16:creationId xmlns:a16="http://schemas.microsoft.com/office/drawing/2014/main" id="{00000000-0008-0000-0500-00001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  <a:ext uri="{FF2B5EF4-FFF2-40B4-BE49-F238E27FC236}">
                  <a16:creationId xmlns:a16="http://schemas.microsoft.com/office/drawing/2014/main" id="{00000000-0008-0000-0500-000019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159603</xdr:colOff>
      <xdr:row>97</xdr:row>
      <xdr:rowOff>147288</xdr:rowOff>
    </xdr:from>
    <xdr:to>
      <xdr:col>2</xdr:col>
      <xdr:colOff>621097</xdr:colOff>
      <xdr:row>97</xdr:row>
      <xdr:rowOff>452470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55003" y="284174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</xdr:colOff>
          <xdr:row>14</xdr:row>
          <xdr:rowOff>160020</xdr:rowOff>
        </xdr:from>
        <xdr:to>
          <xdr:col>12</xdr:col>
          <xdr:colOff>144780</xdr:colOff>
          <xdr:row>15</xdr:row>
          <xdr:rowOff>30480</xdr:rowOff>
        </xdr:to>
        <xdr:sp macro="" textlink="">
          <xdr:nvSpPr>
            <xdr:cNvPr id="34843" name="Option Button 27" hidden="1">
              <a:extLst>
                <a:ext uri="{63B3BB69-23CF-44E3-9099-C40C66FF867C}">
                  <a14:compatExt spid="_x0000_s34843"/>
                </a:ext>
                <a:ext uri="{FF2B5EF4-FFF2-40B4-BE49-F238E27FC236}">
                  <a16:creationId xmlns:a16="http://schemas.microsoft.com/office/drawing/2014/main" id="{00000000-0008-0000-0500-00001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202722</xdr:colOff>
      <xdr:row>33</xdr:row>
      <xdr:rowOff>52477</xdr:rowOff>
    </xdr:from>
    <xdr:to>
      <xdr:col>2</xdr:col>
      <xdr:colOff>587854</xdr:colOff>
      <xdr:row>33</xdr:row>
      <xdr:rowOff>354256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9812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266016</xdr:colOff>
      <xdr:row>30</xdr:row>
      <xdr:rowOff>57400</xdr:rowOff>
    </xdr:from>
    <xdr:to>
      <xdr:col>2</xdr:col>
      <xdr:colOff>543107</xdr:colOff>
      <xdr:row>30</xdr:row>
      <xdr:rowOff>343150</xdr:rowOff>
    </xdr:to>
    <xdr:pic>
      <xdr:nvPicPr>
        <xdr:cNvPr id="94" name="Grafik 126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61416" y="5124700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178989</xdr:colOff>
      <xdr:row>31</xdr:row>
      <xdr:rowOff>57834</xdr:rowOff>
    </xdr:from>
    <xdr:to>
      <xdr:col>2</xdr:col>
      <xdr:colOff>620603</xdr:colOff>
      <xdr:row>31</xdr:row>
      <xdr:rowOff>352243</xdr:rowOff>
    </xdr:to>
    <xdr:pic>
      <xdr:nvPicPr>
        <xdr:cNvPr id="95" name="Grafik 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74389" y="5525184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164816</xdr:colOff>
      <xdr:row>32</xdr:row>
      <xdr:rowOff>53253</xdr:rowOff>
    </xdr:from>
    <xdr:to>
      <xdr:col>2</xdr:col>
      <xdr:colOff>623748</xdr:colOff>
      <xdr:row>32</xdr:row>
      <xdr:rowOff>356321</xdr:rowOff>
    </xdr:to>
    <xdr:pic>
      <xdr:nvPicPr>
        <xdr:cNvPr id="96" name="Grafik 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60216" y="5920653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223938</xdr:colOff>
      <xdr:row>69</xdr:row>
      <xdr:rowOff>53253</xdr:rowOff>
    </xdr:from>
    <xdr:to>
      <xdr:col>2</xdr:col>
      <xdr:colOff>552983</xdr:colOff>
      <xdr:row>69</xdr:row>
      <xdr:rowOff>356321</xdr:rowOff>
    </xdr:to>
    <xdr:pic>
      <xdr:nvPicPr>
        <xdr:cNvPr id="97" name="Grafik 10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19338" y="17522103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151941</xdr:colOff>
      <xdr:row>77</xdr:row>
      <xdr:rowOff>79553</xdr:rowOff>
    </xdr:from>
    <xdr:to>
      <xdr:col>2</xdr:col>
      <xdr:colOff>617099</xdr:colOff>
      <xdr:row>77</xdr:row>
      <xdr:rowOff>330022</xdr:rowOff>
    </xdr:to>
    <xdr:pic>
      <xdr:nvPicPr>
        <xdr:cNvPr id="98" name="Grafik 1805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47341" y="20348753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34844" name="Option Button 28" hidden="1">
              <a:extLst>
                <a:ext uri="{63B3BB69-23CF-44E3-9099-C40C66FF867C}">
                  <a14:compatExt spid="_x0000_s34844"/>
                </a:ext>
                <a:ext uri="{FF2B5EF4-FFF2-40B4-BE49-F238E27FC236}">
                  <a16:creationId xmlns:a16="http://schemas.microsoft.com/office/drawing/2014/main" id="{00000000-0008-0000-0500-00001C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34845" name="Option Button 29" hidden="1">
              <a:extLst>
                <a:ext uri="{63B3BB69-23CF-44E3-9099-C40C66FF867C}">
                  <a14:compatExt spid="_x0000_s34845"/>
                </a:ext>
                <a:ext uri="{FF2B5EF4-FFF2-40B4-BE49-F238E27FC236}">
                  <a16:creationId xmlns:a16="http://schemas.microsoft.com/office/drawing/2014/main" id="{00000000-0008-0000-0500-00001D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34846" name="Option Button 30" hidden="1">
              <a:extLst>
                <a:ext uri="{63B3BB69-23CF-44E3-9099-C40C66FF867C}">
                  <a14:compatExt spid="_x0000_s34846"/>
                </a:ext>
                <a:ext uri="{FF2B5EF4-FFF2-40B4-BE49-F238E27FC236}">
                  <a16:creationId xmlns:a16="http://schemas.microsoft.com/office/drawing/2014/main" id="{00000000-0008-0000-0500-00001E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46</xdr:row>
      <xdr:rowOff>67255</xdr:rowOff>
    </xdr:from>
    <xdr:to>
      <xdr:col>2</xdr:col>
      <xdr:colOff>650218</xdr:colOff>
      <xdr:row>46</xdr:row>
      <xdr:rowOff>363926</xdr:rowOff>
    </xdr:to>
    <xdr:pic>
      <xdr:nvPicPr>
        <xdr:cNvPr id="83" name="Grafik 17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4" name="Grafik 17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5" name="Grafik 17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53</xdr:row>
      <xdr:rowOff>62003</xdr:rowOff>
    </xdr:from>
    <xdr:to>
      <xdr:col>2</xdr:col>
      <xdr:colOff>585339</xdr:colOff>
      <xdr:row>53</xdr:row>
      <xdr:rowOff>357278</xdr:rowOff>
    </xdr:to>
    <xdr:pic>
      <xdr:nvPicPr>
        <xdr:cNvPr id="88" name="Grafik 46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54</xdr:row>
      <xdr:rowOff>62002</xdr:rowOff>
    </xdr:from>
    <xdr:to>
      <xdr:col>2</xdr:col>
      <xdr:colOff>585339</xdr:colOff>
      <xdr:row>54</xdr:row>
      <xdr:rowOff>357277</xdr:rowOff>
    </xdr:to>
    <xdr:pic>
      <xdr:nvPicPr>
        <xdr:cNvPr id="90" name="Grafik 46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55</xdr:row>
      <xdr:rowOff>62002</xdr:rowOff>
    </xdr:from>
    <xdr:to>
      <xdr:col>2</xdr:col>
      <xdr:colOff>585339</xdr:colOff>
      <xdr:row>55</xdr:row>
      <xdr:rowOff>357277</xdr:rowOff>
    </xdr:to>
    <xdr:pic>
      <xdr:nvPicPr>
        <xdr:cNvPr id="91" name="Grafik 46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35303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58</xdr:row>
      <xdr:rowOff>32133</xdr:rowOff>
    </xdr:from>
    <xdr:to>
      <xdr:col>2</xdr:col>
      <xdr:colOff>645842</xdr:colOff>
      <xdr:row>58</xdr:row>
      <xdr:rowOff>394938</xdr:rowOff>
    </xdr:to>
    <xdr:pic>
      <xdr:nvPicPr>
        <xdr:cNvPr id="92" name="Grafik 23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63008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9" name="Grafik 23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50140</xdr:rowOff>
    </xdr:from>
    <xdr:to>
      <xdr:col>2</xdr:col>
      <xdr:colOff>597556</xdr:colOff>
      <xdr:row>64</xdr:row>
      <xdr:rowOff>351568</xdr:rowOff>
    </xdr:to>
    <xdr:pic>
      <xdr:nvPicPr>
        <xdr:cNvPr id="100" name="Grafik 24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101" name="Grafik 24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66</xdr:row>
      <xdr:rowOff>52478</xdr:rowOff>
    </xdr:from>
    <xdr:to>
      <xdr:col>2</xdr:col>
      <xdr:colOff>588516</xdr:colOff>
      <xdr:row>66</xdr:row>
      <xdr:rowOff>347214</xdr:rowOff>
    </xdr:to>
    <xdr:pic>
      <xdr:nvPicPr>
        <xdr:cNvPr id="102" name="Grafik 25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103" name="Grafik 25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95</xdr:row>
      <xdr:rowOff>63027</xdr:rowOff>
    </xdr:from>
    <xdr:to>
      <xdr:col>2</xdr:col>
      <xdr:colOff>607876</xdr:colOff>
      <xdr:row>95</xdr:row>
      <xdr:rowOff>337922</xdr:rowOff>
    </xdr:to>
    <xdr:pic>
      <xdr:nvPicPr>
        <xdr:cNvPr id="104" name="Grafik 68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94</xdr:row>
      <xdr:rowOff>86183</xdr:rowOff>
    </xdr:from>
    <xdr:to>
      <xdr:col>2</xdr:col>
      <xdr:colOff>637189</xdr:colOff>
      <xdr:row>94</xdr:row>
      <xdr:rowOff>357629</xdr:rowOff>
    </xdr:to>
    <xdr:pic>
      <xdr:nvPicPr>
        <xdr:cNvPr id="105" name="Grafik 68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70</xdr:row>
      <xdr:rowOff>34380</xdr:rowOff>
    </xdr:from>
    <xdr:to>
      <xdr:col>2</xdr:col>
      <xdr:colOff>621565</xdr:colOff>
      <xdr:row>70</xdr:row>
      <xdr:rowOff>380999</xdr:rowOff>
    </xdr:to>
    <xdr:pic>
      <xdr:nvPicPr>
        <xdr:cNvPr id="106" name="Grafik 1801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195034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91</xdr:row>
      <xdr:rowOff>71438</xdr:rowOff>
    </xdr:from>
    <xdr:to>
      <xdr:col>2</xdr:col>
      <xdr:colOff>565715</xdr:colOff>
      <xdr:row>91</xdr:row>
      <xdr:rowOff>330653</xdr:rowOff>
    </xdr:to>
    <xdr:pic>
      <xdr:nvPicPr>
        <xdr:cNvPr id="107" name="Grafik 54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1417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34849" name="Group Box 33" hidden="1">
              <a:extLst>
                <a:ext uri="{63B3BB69-23CF-44E3-9099-C40C66FF867C}">
                  <a14:compatExt spid="_x0000_s34849"/>
                </a:ext>
                <a:ext uri="{FF2B5EF4-FFF2-40B4-BE49-F238E27FC236}">
                  <a16:creationId xmlns:a16="http://schemas.microsoft.com/office/drawing/2014/main" id="{00000000-0008-0000-0500-00002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34850" name="Option Button 34" hidden="1">
              <a:extLst>
                <a:ext uri="{63B3BB69-23CF-44E3-9099-C40C66FF867C}">
                  <a14:compatExt spid="_x0000_s34850"/>
                </a:ext>
                <a:ext uri="{FF2B5EF4-FFF2-40B4-BE49-F238E27FC236}">
                  <a16:creationId xmlns:a16="http://schemas.microsoft.com/office/drawing/2014/main" id="{00000000-0008-0000-0500-00002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34851" name="Option Button 35" hidden="1">
              <a:extLst>
                <a:ext uri="{63B3BB69-23CF-44E3-9099-C40C66FF867C}">
                  <a14:compatExt spid="_x0000_s34851"/>
                </a:ext>
                <a:ext uri="{FF2B5EF4-FFF2-40B4-BE49-F238E27FC236}">
                  <a16:creationId xmlns:a16="http://schemas.microsoft.com/office/drawing/2014/main" id="{00000000-0008-0000-0500-00002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8" name="Grafik 4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180975</xdr:colOff>
      <xdr:row>0</xdr:row>
      <xdr:rowOff>104776</xdr:rowOff>
    </xdr:from>
    <xdr:to>
      <xdr:col>7</xdr:col>
      <xdr:colOff>236121</xdr:colOff>
      <xdr:row>5</xdr:row>
      <xdr:rowOff>161926</xdr:rowOff>
    </xdr:to>
    <xdr:pic>
      <xdr:nvPicPr>
        <xdr:cNvPr id="109" name="Grafik 3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1" r="11871" b="3818"/>
        <a:stretch/>
      </xdr:blipFill>
      <xdr:spPr bwMode="auto">
        <a:xfrm>
          <a:off x="3886200" y="104776"/>
          <a:ext cx="141722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93</xdr:row>
      <xdr:rowOff>18316</xdr:rowOff>
    </xdr:from>
    <xdr:to>
      <xdr:col>2</xdr:col>
      <xdr:colOff>532488</xdr:colOff>
      <xdr:row>93</xdr:row>
      <xdr:rowOff>373673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92</xdr:row>
      <xdr:rowOff>19366</xdr:rowOff>
    </xdr:from>
    <xdr:to>
      <xdr:col>2</xdr:col>
      <xdr:colOff>461593</xdr:colOff>
      <xdr:row>92</xdr:row>
      <xdr:rowOff>391991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0455" y="312518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30078</xdr:rowOff>
    </xdr:from>
    <xdr:to>
      <xdr:col>2</xdr:col>
      <xdr:colOff>643566</xdr:colOff>
      <xdr:row>50</xdr:row>
      <xdr:rowOff>390196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51</xdr:row>
      <xdr:rowOff>32083</xdr:rowOff>
    </xdr:from>
    <xdr:to>
      <xdr:col>2</xdr:col>
      <xdr:colOff>643566</xdr:colOff>
      <xdr:row>51</xdr:row>
      <xdr:rowOff>392201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52</xdr:row>
      <xdr:rowOff>17545</xdr:rowOff>
    </xdr:from>
    <xdr:to>
      <xdr:col>2</xdr:col>
      <xdr:colOff>636671</xdr:colOff>
      <xdr:row>52</xdr:row>
      <xdr:rowOff>393834</xdr:rowOff>
    </xdr:to>
    <xdr:pic>
      <xdr:nvPicPr>
        <xdr:cNvPr id="114" name="Grafik 20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88</xdr:row>
      <xdr:rowOff>33340</xdr:rowOff>
    </xdr:from>
    <xdr:to>
      <xdr:col>2</xdr:col>
      <xdr:colOff>686247</xdr:colOff>
      <xdr:row>88</xdr:row>
      <xdr:rowOff>370378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</xdr:row>
      <xdr:rowOff>38100</xdr:rowOff>
    </xdr:from>
    <xdr:to>
      <xdr:col>4</xdr:col>
      <xdr:colOff>630583</xdr:colOff>
      <xdr:row>3</xdr:row>
      <xdr:rowOff>171448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14500" y="390525"/>
          <a:ext cx="1706908" cy="676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43009" name="Group Box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6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43011" name="Group Box 3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:a16="http://schemas.microsoft.com/office/drawing/2014/main" id="{00000000-0008-0000-0600-00000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35</xdr:row>
      <xdr:rowOff>114403</xdr:rowOff>
    </xdr:from>
    <xdr:to>
      <xdr:col>2</xdr:col>
      <xdr:colOff>532303</xdr:colOff>
      <xdr:row>35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0993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36</xdr:row>
      <xdr:rowOff>62318</xdr:rowOff>
    </xdr:from>
    <xdr:to>
      <xdr:col>2</xdr:col>
      <xdr:colOff>584993</xdr:colOff>
      <xdr:row>36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5299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37</xdr:row>
      <xdr:rowOff>57149</xdr:rowOff>
    </xdr:from>
    <xdr:to>
      <xdr:col>2</xdr:col>
      <xdr:colOff>564911</xdr:colOff>
      <xdr:row>37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247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38</xdr:row>
      <xdr:rowOff>63500</xdr:rowOff>
    </xdr:from>
    <xdr:to>
      <xdr:col>2</xdr:col>
      <xdr:colOff>606320</xdr:colOff>
      <xdr:row>38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3312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43017" name="Option Button 9" hidden="1">
              <a:extLst>
                <a:ext uri="{63B3BB69-23CF-44E3-9099-C40C66FF867C}">
                  <a14:compatExt spid="_x0000_s43017"/>
                </a:ext>
                <a:ext uri="{FF2B5EF4-FFF2-40B4-BE49-F238E27FC236}">
                  <a16:creationId xmlns:a16="http://schemas.microsoft.com/office/drawing/2014/main" id="{00000000-0008-0000-0600-00000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43018" name="Option Button 10" hidden="1">
              <a:extLst>
                <a:ext uri="{63B3BB69-23CF-44E3-9099-C40C66FF867C}">
                  <a14:compatExt spid="_x0000_s43018"/>
                </a:ext>
                <a:ext uri="{FF2B5EF4-FFF2-40B4-BE49-F238E27FC236}">
                  <a16:creationId xmlns:a16="http://schemas.microsoft.com/office/drawing/2014/main" id="{00000000-0008-0000-0600-00000A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43019" name="Option Button 11" hidden="1">
              <a:extLst>
                <a:ext uri="{63B3BB69-23CF-44E3-9099-C40C66FF867C}">
                  <a14:compatExt spid="_x0000_s43019"/>
                </a:ext>
                <a:ext uri="{FF2B5EF4-FFF2-40B4-BE49-F238E27FC236}">
                  <a16:creationId xmlns:a16="http://schemas.microsoft.com/office/drawing/2014/main" id="{00000000-0008-0000-0600-00000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43020" name="Option Button 12" hidden="1">
              <a:extLst>
                <a:ext uri="{63B3BB69-23CF-44E3-9099-C40C66FF867C}">
                  <a14:compatExt spid="_x0000_s43020"/>
                </a:ext>
                <a:ext uri="{FF2B5EF4-FFF2-40B4-BE49-F238E27FC236}">
                  <a16:creationId xmlns:a16="http://schemas.microsoft.com/office/drawing/2014/main" id="{00000000-0008-0000-0600-00000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16</xdr:row>
          <xdr:rowOff>0</xdr:rowOff>
        </xdr:to>
        <xdr:sp macro="" textlink="">
          <xdr:nvSpPr>
            <xdr:cNvPr id="43021" name="Option Button 13" hidden="1">
              <a:extLst>
                <a:ext uri="{63B3BB69-23CF-44E3-9099-C40C66FF867C}">
                  <a14:compatExt spid="_x0000_s43021"/>
                </a:ext>
                <a:ext uri="{FF2B5EF4-FFF2-40B4-BE49-F238E27FC236}">
                  <a16:creationId xmlns:a16="http://schemas.microsoft.com/office/drawing/2014/main" id="{00000000-0008-0000-0600-00000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43022" name="Option Button 14" hidden="1">
              <a:extLst>
                <a:ext uri="{63B3BB69-23CF-44E3-9099-C40C66FF867C}">
                  <a14:compatExt spid="_x0000_s43022"/>
                </a:ext>
                <a:ext uri="{FF2B5EF4-FFF2-40B4-BE49-F238E27FC236}">
                  <a16:creationId xmlns:a16="http://schemas.microsoft.com/office/drawing/2014/main" id="{00000000-0008-0000-0600-00000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43023" name="Option Button 15" hidden="1">
              <a:extLst>
                <a:ext uri="{63B3BB69-23CF-44E3-9099-C40C66FF867C}">
                  <a14:compatExt spid="_x0000_s43023"/>
                </a:ext>
                <a:ext uri="{FF2B5EF4-FFF2-40B4-BE49-F238E27FC236}">
                  <a16:creationId xmlns:a16="http://schemas.microsoft.com/office/drawing/2014/main" id="{00000000-0008-0000-0600-00000F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388620</xdr:colOff>
          <xdr:row>18</xdr:row>
          <xdr:rowOff>0</xdr:rowOff>
        </xdr:to>
        <xdr:sp macro="" textlink="">
          <xdr:nvSpPr>
            <xdr:cNvPr id="43024" name="Option Button 16" hidden="1">
              <a:extLst>
                <a:ext uri="{63B3BB69-23CF-44E3-9099-C40C66FF867C}">
                  <a14:compatExt spid="_x0000_s43024"/>
                </a:ext>
                <a:ext uri="{FF2B5EF4-FFF2-40B4-BE49-F238E27FC236}">
                  <a16:creationId xmlns:a16="http://schemas.microsoft.com/office/drawing/2014/main" id="{00000000-0008-0000-0600-000010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43025" name="Option Button 17" hidden="1">
              <a:extLst>
                <a:ext uri="{63B3BB69-23CF-44E3-9099-C40C66FF867C}">
                  <a14:compatExt spid="_x0000_s43025"/>
                </a:ext>
                <a:ext uri="{FF2B5EF4-FFF2-40B4-BE49-F238E27FC236}">
                  <a16:creationId xmlns:a16="http://schemas.microsoft.com/office/drawing/2014/main" id="{00000000-0008-0000-0600-00001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39</xdr:row>
      <xdr:rowOff>79975</xdr:rowOff>
    </xdr:from>
    <xdr:to>
      <xdr:col>2</xdr:col>
      <xdr:colOff>645534</xdr:colOff>
      <xdr:row>39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477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40</xdr:row>
      <xdr:rowOff>58409</xdr:rowOff>
    </xdr:from>
    <xdr:to>
      <xdr:col>2</xdr:col>
      <xdr:colOff>525673</xdr:colOff>
      <xdr:row>40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1262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41</xdr:row>
      <xdr:rowOff>58407</xdr:rowOff>
    </xdr:from>
    <xdr:to>
      <xdr:col>2</xdr:col>
      <xdr:colOff>593018</xdr:colOff>
      <xdr:row>41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5262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42</xdr:row>
      <xdr:rowOff>62002</xdr:rowOff>
    </xdr:from>
    <xdr:to>
      <xdr:col>2</xdr:col>
      <xdr:colOff>597559</xdr:colOff>
      <xdr:row>42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9299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43</xdr:row>
      <xdr:rowOff>59126</xdr:rowOff>
    </xdr:from>
    <xdr:to>
      <xdr:col>2</xdr:col>
      <xdr:colOff>583183</xdr:colOff>
      <xdr:row>43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3270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44</xdr:row>
      <xdr:rowOff>58410</xdr:rowOff>
    </xdr:from>
    <xdr:to>
      <xdr:col>2</xdr:col>
      <xdr:colOff>611935</xdr:colOff>
      <xdr:row>44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264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46</xdr:row>
      <xdr:rowOff>54812</xdr:rowOff>
    </xdr:from>
    <xdr:to>
      <xdr:col>2</xdr:col>
      <xdr:colOff>608342</xdr:colOff>
      <xdr:row>46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5229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45</xdr:row>
      <xdr:rowOff>54815</xdr:rowOff>
    </xdr:from>
    <xdr:to>
      <xdr:col>2</xdr:col>
      <xdr:colOff>611935</xdr:colOff>
      <xdr:row>45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1228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50</xdr:row>
      <xdr:rowOff>69191</xdr:rowOff>
    </xdr:from>
    <xdr:to>
      <xdr:col>2</xdr:col>
      <xdr:colOff>567905</xdr:colOff>
      <xdr:row>50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374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63261</xdr:rowOff>
    </xdr:from>
    <xdr:to>
      <xdr:col>2</xdr:col>
      <xdr:colOff>597556</xdr:colOff>
      <xdr:row>61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58</xdr:row>
      <xdr:rowOff>60533</xdr:rowOff>
    </xdr:from>
    <xdr:to>
      <xdr:col>2</xdr:col>
      <xdr:colOff>514890</xdr:colOff>
      <xdr:row>58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289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59666</xdr:rowOff>
    </xdr:from>
    <xdr:to>
      <xdr:col>2</xdr:col>
      <xdr:colOff>597556</xdr:colOff>
      <xdr:row>62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63260</xdr:rowOff>
    </xdr:from>
    <xdr:to>
      <xdr:col>2</xdr:col>
      <xdr:colOff>597556</xdr:colOff>
      <xdr:row>63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319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64</xdr:row>
      <xdr:rowOff>59665</xdr:rowOff>
    </xdr:from>
    <xdr:to>
      <xdr:col>2</xdr:col>
      <xdr:colOff>597556</xdr:colOff>
      <xdr:row>64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83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70</xdr:row>
      <xdr:rowOff>63261</xdr:rowOff>
    </xdr:from>
    <xdr:to>
      <xdr:col>2</xdr:col>
      <xdr:colOff>554074</xdr:colOff>
      <xdr:row>70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321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73</xdr:row>
      <xdr:rowOff>57330</xdr:rowOff>
    </xdr:from>
    <xdr:to>
      <xdr:col>2</xdr:col>
      <xdr:colOff>569077</xdr:colOff>
      <xdr:row>73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262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74</xdr:row>
      <xdr:rowOff>66855</xdr:rowOff>
    </xdr:from>
    <xdr:to>
      <xdr:col>2</xdr:col>
      <xdr:colOff>629917</xdr:colOff>
      <xdr:row>74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358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69</xdr:row>
      <xdr:rowOff>59664</xdr:rowOff>
    </xdr:from>
    <xdr:to>
      <xdr:col>2</xdr:col>
      <xdr:colOff>524416</xdr:colOff>
      <xdr:row>69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284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75</xdr:row>
      <xdr:rowOff>58408</xdr:rowOff>
    </xdr:from>
    <xdr:to>
      <xdr:col>2</xdr:col>
      <xdr:colOff>477051</xdr:colOff>
      <xdr:row>75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274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76</xdr:row>
      <xdr:rowOff>62003</xdr:rowOff>
    </xdr:from>
    <xdr:to>
      <xdr:col>2</xdr:col>
      <xdr:colOff>477051</xdr:colOff>
      <xdr:row>76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311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77</xdr:row>
      <xdr:rowOff>62003</xdr:rowOff>
    </xdr:from>
    <xdr:to>
      <xdr:col>2</xdr:col>
      <xdr:colOff>600642</xdr:colOff>
      <xdr:row>77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311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80</xdr:row>
      <xdr:rowOff>59668</xdr:rowOff>
    </xdr:from>
    <xdr:to>
      <xdr:col>2</xdr:col>
      <xdr:colOff>496724</xdr:colOff>
      <xdr:row>80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291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81</xdr:row>
      <xdr:rowOff>59486</xdr:rowOff>
    </xdr:from>
    <xdr:to>
      <xdr:col>2</xdr:col>
      <xdr:colOff>592475</xdr:colOff>
      <xdr:row>81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289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78</xdr:row>
      <xdr:rowOff>63262</xdr:rowOff>
    </xdr:from>
    <xdr:to>
      <xdr:col>2</xdr:col>
      <xdr:colOff>564622</xdr:colOff>
      <xdr:row>78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324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82</xdr:row>
      <xdr:rowOff>58408</xdr:rowOff>
    </xdr:from>
    <xdr:to>
      <xdr:col>2</xdr:col>
      <xdr:colOff>530349</xdr:colOff>
      <xdr:row>82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279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83</xdr:row>
      <xdr:rowOff>62001</xdr:rowOff>
    </xdr:from>
    <xdr:to>
      <xdr:col>2</xdr:col>
      <xdr:colOff>549693</xdr:colOff>
      <xdr:row>83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316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84</xdr:row>
      <xdr:rowOff>62002</xdr:rowOff>
    </xdr:from>
    <xdr:to>
      <xdr:col>2</xdr:col>
      <xdr:colOff>503461</xdr:colOff>
      <xdr:row>84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316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56970</xdr:rowOff>
    </xdr:from>
    <xdr:to>
      <xdr:col>2</xdr:col>
      <xdr:colOff>564635</xdr:colOff>
      <xdr:row>85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60564</xdr:rowOff>
    </xdr:from>
    <xdr:to>
      <xdr:col>2</xdr:col>
      <xdr:colOff>564635</xdr:colOff>
      <xdr:row>86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87</xdr:row>
      <xdr:rowOff>56970</xdr:rowOff>
    </xdr:from>
    <xdr:to>
      <xdr:col>2</xdr:col>
      <xdr:colOff>564635</xdr:colOff>
      <xdr:row>87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267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88</xdr:row>
      <xdr:rowOff>60563</xdr:rowOff>
    </xdr:from>
    <xdr:to>
      <xdr:col>2</xdr:col>
      <xdr:colOff>564635</xdr:colOff>
      <xdr:row>88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304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89</xdr:row>
      <xdr:rowOff>60563</xdr:rowOff>
    </xdr:from>
    <xdr:to>
      <xdr:col>2</xdr:col>
      <xdr:colOff>564635</xdr:colOff>
      <xdr:row>89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304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91</xdr:row>
      <xdr:rowOff>58408</xdr:rowOff>
    </xdr:from>
    <xdr:to>
      <xdr:col>2</xdr:col>
      <xdr:colOff>594684</xdr:colOff>
      <xdr:row>91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284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98</xdr:row>
      <xdr:rowOff>63260</xdr:rowOff>
    </xdr:from>
    <xdr:to>
      <xdr:col>2</xdr:col>
      <xdr:colOff>588843</xdr:colOff>
      <xdr:row>98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334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92</xdr:row>
      <xdr:rowOff>122926</xdr:rowOff>
    </xdr:from>
    <xdr:to>
      <xdr:col>2</xdr:col>
      <xdr:colOff>554607</xdr:colOff>
      <xdr:row>92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929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43026" name="Group Box 18" hidden="1">
              <a:extLst>
                <a:ext uri="{63B3BB69-23CF-44E3-9099-C40C66FF867C}">
                  <a14:compatExt spid="_x0000_s43026"/>
                </a:ext>
                <a:ext uri="{FF2B5EF4-FFF2-40B4-BE49-F238E27FC236}">
                  <a16:creationId xmlns:a16="http://schemas.microsoft.com/office/drawing/2014/main" id="{00000000-0008-0000-0600-00001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  <a:ext uri="{FF2B5EF4-FFF2-40B4-BE49-F238E27FC236}">
                  <a16:creationId xmlns:a16="http://schemas.microsoft.com/office/drawing/2014/main" id="{00000000-0008-0000-0600-000018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  <a:ext uri="{FF2B5EF4-FFF2-40B4-BE49-F238E27FC236}">
                  <a16:creationId xmlns:a16="http://schemas.microsoft.com/office/drawing/2014/main" id="{00000000-0008-0000-0600-000019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99</xdr:row>
      <xdr:rowOff>166338</xdr:rowOff>
    </xdr:from>
    <xdr:to>
      <xdr:col>2</xdr:col>
      <xdr:colOff>602047</xdr:colOff>
      <xdr:row>99</xdr:row>
      <xdr:rowOff>471520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106680</xdr:colOff>
          <xdr:row>14</xdr:row>
          <xdr:rowOff>114300</xdr:rowOff>
        </xdr:from>
        <xdr:to>
          <xdr:col>12</xdr:col>
          <xdr:colOff>144780</xdr:colOff>
          <xdr:row>14</xdr:row>
          <xdr:rowOff>152400</xdr:rowOff>
        </xdr:to>
        <xdr:sp macro="" textlink="">
          <xdr:nvSpPr>
            <xdr:cNvPr id="43035" name="Option Button 27" hidden="1">
              <a:extLst>
                <a:ext uri="{63B3BB69-23CF-44E3-9099-C40C66FF867C}">
                  <a14:compatExt spid="_x0000_s43035"/>
                </a:ext>
                <a:ext uri="{FF2B5EF4-FFF2-40B4-BE49-F238E27FC236}">
                  <a16:creationId xmlns:a16="http://schemas.microsoft.com/office/drawing/2014/main" id="{00000000-0008-0000-0600-00001B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34</xdr:row>
      <xdr:rowOff>62002</xdr:rowOff>
    </xdr:from>
    <xdr:to>
      <xdr:col>2</xdr:col>
      <xdr:colOff>568804</xdr:colOff>
      <xdr:row>34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7295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246966</xdr:colOff>
      <xdr:row>30</xdr:row>
      <xdr:rowOff>66925</xdr:rowOff>
    </xdr:from>
    <xdr:to>
      <xdr:col>2</xdr:col>
      <xdr:colOff>524057</xdr:colOff>
      <xdr:row>30</xdr:row>
      <xdr:rowOff>352675</xdr:rowOff>
    </xdr:to>
    <xdr:pic>
      <xdr:nvPicPr>
        <xdr:cNvPr id="94" name="Grafik 126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42366" y="5134225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159939</xdr:colOff>
      <xdr:row>31</xdr:row>
      <xdr:rowOff>67359</xdr:rowOff>
    </xdr:from>
    <xdr:to>
      <xdr:col>2</xdr:col>
      <xdr:colOff>601553</xdr:colOff>
      <xdr:row>31</xdr:row>
      <xdr:rowOff>361768</xdr:rowOff>
    </xdr:to>
    <xdr:pic>
      <xdr:nvPicPr>
        <xdr:cNvPr id="95" name="Grafik 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55339" y="5534709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145766</xdr:colOff>
      <xdr:row>32</xdr:row>
      <xdr:rowOff>62778</xdr:rowOff>
    </xdr:from>
    <xdr:to>
      <xdr:col>2</xdr:col>
      <xdr:colOff>604698</xdr:colOff>
      <xdr:row>32</xdr:row>
      <xdr:rowOff>365846</xdr:rowOff>
    </xdr:to>
    <xdr:pic>
      <xdr:nvPicPr>
        <xdr:cNvPr id="96" name="Grafik 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41166" y="5930178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204888</xdr:colOff>
      <xdr:row>71</xdr:row>
      <xdr:rowOff>62778</xdr:rowOff>
    </xdr:from>
    <xdr:to>
      <xdr:col>2</xdr:col>
      <xdr:colOff>533933</xdr:colOff>
      <xdr:row>71</xdr:row>
      <xdr:rowOff>365846</xdr:rowOff>
    </xdr:to>
    <xdr:pic>
      <xdr:nvPicPr>
        <xdr:cNvPr id="97" name="Grafik 10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00288" y="17931678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132891</xdr:colOff>
      <xdr:row>79</xdr:row>
      <xdr:rowOff>89078</xdr:rowOff>
    </xdr:from>
    <xdr:to>
      <xdr:col>2</xdr:col>
      <xdr:colOff>598049</xdr:colOff>
      <xdr:row>79</xdr:row>
      <xdr:rowOff>339547</xdr:rowOff>
    </xdr:to>
    <xdr:pic>
      <xdr:nvPicPr>
        <xdr:cNvPr id="98" name="Grafik 1805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28291" y="20758328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33</xdr:row>
      <xdr:rowOff>66675</xdr:rowOff>
    </xdr:from>
    <xdr:to>
      <xdr:col>2</xdr:col>
      <xdr:colOff>588545</xdr:colOff>
      <xdr:row>33</xdr:row>
      <xdr:rowOff>342900</xdr:rowOff>
    </xdr:to>
    <xdr:pic>
      <xdr:nvPicPr>
        <xdr:cNvPr id="100" name="Grafik 106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2" t="19756" r="20074" b="16425"/>
        <a:stretch>
          <a:fillRect/>
        </a:stretch>
      </xdr:blipFill>
      <xdr:spPr bwMode="auto">
        <a:xfrm>
          <a:off x="1447800" y="6334125"/>
          <a:ext cx="43614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43036" name="Option Button 28" hidden="1">
              <a:extLst>
                <a:ext uri="{63B3BB69-23CF-44E3-9099-C40C66FF867C}">
                  <a14:compatExt spid="_x0000_s43036"/>
                </a:ext>
                <a:ext uri="{FF2B5EF4-FFF2-40B4-BE49-F238E27FC236}">
                  <a16:creationId xmlns:a16="http://schemas.microsoft.com/office/drawing/2014/main" id="{00000000-0008-0000-0600-00001C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43037" name="Option Button 29" hidden="1">
              <a:extLst>
                <a:ext uri="{63B3BB69-23CF-44E3-9099-C40C66FF867C}">
                  <a14:compatExt spid="_x0000_s43037"/>
                </a:ext>
                <a:ext uri="{FF2B5EF4-FFF2-40B4-BE49-F238E27FC236}">
                  <a16:creationId xmlns:a16="http://schemas.microsoft.com/office/drawing/2014/main" id="{00000000-0008-0000-0600-00001D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43038" name="Option Button 30" hidden="1">
              <a:extLst>
                <a:ext uri="{63B3BB69-23CF-44E3-9099-C40C66FF867C}">
                  <a14:compatExt spid="_x0000_s43038"/>
                </a:ext>
                <a:ext uri="{FF2B5EF4-FFF2-40B4-BE49-F238E27FC236}">
                  <a16:creationId xmlns:a16="http://schemas.microsoft.com/office/drawing/2014/main" id="{00000000-0008-0000-0600-00001E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47</xdr:row>
      <xdr:rowOff>67255</xdr:rowOff>
    </xdr:from>
    <xdr:to>
      <xdr:col>2</xdr:col>
      <xdr:colOff>650218</xdr:colOff>
      <xdr:row>47</xdr:row>
      <xdr:rowOff>363926</xdr:rowOff>
    </xdr:to>
    <xdr:pic>
      <xdr:nvPicPr>
        <xdr:cNvPr id="80" name="Grafik 17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5353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49</xdr:row>
      <xdr:rowOff>63660</xdr:rowOff>
    </xdr:from>
    <xdr:to>
      <xdr:col>2</xdr:col>
      <xdr:colOff>650218</xdr:colOff>
      <xdr:row>49</xdr:row>
      <xdr:rowOff>360331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48</xdr:row>
      <xdr:rowOff>63660</xdr:rowOff>
    </xdr:from>
    <xdr:to>
      <xdr:col>2</xdr:col>
      <xdr:colOff>650218</xdr:colOff>
      <xdr:row>48</xdr:row>
      <xdr:rowOff>360331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18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55</xdr:row>
      <xdr:rowOff>52478</xdr:rowOff>
    </xdr:from>
    <xdr:to>
      <xdr:col>2</xdr:col>
      <xdr:colOff>575814</xdr:colOff>
      <xdr:row>55</xdr:row>
      <xdr:rowOff>347753</xdr:rowOff>
    </xdr:to>
    <xdr:pic>
      <xdr:nvPicPr>
        <xdr:cNvPr id="84" name="Grafik 46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56</xdr:row>
      <xdr:rowOff>52477</xdr:rowOff>
    </xdr:from>
    <xdr:to>
      <xdr:col>2</xdr:col>
      <xdr:colOff>575814</xdr:colOff>
      <xdr:row>56</xdr:row>
      <xdr:rowOff>347752</xdr:rowOff>
    </xdr:to>
    <xdr:pic>
      <xdr:nvPicPr>
        <xdr:cNvPr id="85" name="Grafik 46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57</xdr:row>
      <xdr:rowOff>52477</xdr:rowOff>
    </xdr:from>
    <xdr:to>
      <xdr:col>2</xdr:col>
      <xdr:colOff>575814</xdr:colOff>
      <xdr:row>57</xdr:row>
      <xdr:rowOff>347752</xdr:rowOff>
    </xdr:to>
    <xdr:pic>
      <xdr:nvPicPr>
        <xdr:cNvPr id="86" name="Grafik 46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60</xdr:row>
      <xdr:rowOff>32133</xdr:rowOff>
    </xdr:from>
    <xdr:to>
      <xdr:col>2</xdr:col>
      <xdr:colOff>645842</xdr:colOff>
      <xdr:row>60</xdr:row>
      <xdr:rowOff>394938</xdr:rowOff>
    </xdr:to>
    <xdr:pic>
      <xdr:nvPicPr>
        <xdr:cNvPr id="88" name="Grafik 23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59</xdr:row>
      <xdr:rowOff>32133</xdr:rowOff>
    </xdr:from>
    <xdr:to>
      <xdr:col>2</xdr:col>
      <xdr:colOff>645842</xdr:colOff>
      <xdr:row>59</xdr:row>
      <xdr:rowOff>394938</xdr:rowOff>
    </xdr:to>
    <xdr:pic>
      <xdr:nvPicPr>
        <xdr:cNvPr id="90" name="Grafik 23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66</xdr:row>
      <xdr:rowOff>50140</xdr:rowOff>
    </xdr:from>
    <xdr:to>
      <xdr:col>2</xdr:col>
      <xdr:colOff>597556</xdr:colOff>
      <xdr:row>66</xdr:row>
      <xdr:rowOff>351568</xdr:rowOff>
    </xdr:to>
    <xdr:pic>
      <xdr:nvPicPr>
        <xdr:cNvPr id="91" name="Grafik 24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68</xdr:row>
      <xdr:rowOff>52478</xdr:rowOff>
    </xdr:from>
    <xdr:to>
      <xdr:col>2</xdr:col>
      <xdr:colOff>588516</xdr:colOff>
      <xdr:row>68</xdr:row>
      <xdr:rowOff>347214</xdr:rowOff>
    </xdr:to>
    <xdr:pic>
      <xdr:nvPicPr>
        <xdr:cNvPr id="92" name="Grafik 25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65</xdr:row>
      <xdr:rowOff>50140</xdr:rowOff>
    </xdr:from>
    <xdr:to>
      <xdr:col>2</xdr:col>
      <xdr:colOff>597556</xdr:colOff>
      <xdr:row>65</xdr:row>
      <xdr:rowOff>351568</xdr:rowOff>
    </xdr:to>
    <xdr:pic>
      <xdr:nvPicPr>
        <xdr:cNvPr id="99" name="Grafik 24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79190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67</xdr:row>
      <xdr:rowOff>52478</xdr:rowOff>
    </xdr:from>
    <xdr:to>
      <xdr:col>2</xdr:col>
      <xdr:colOff>588516</xdr:colOff>
      <xdr:row>67</xdr:row>
      <xdr:rowOff>347214</xdr:rowOff>
    </xdr:to>
    <xdr:pic>
      <xdr:nvPicPr>
        <xdr:cNvPr id="101" name="Grafik 25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87214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97</xdr:row>
      <xdr:rowOff>63027</xdr:rowOff>
    </xdr:from>
    <xdr:to>
      <xdr:col>2</xdr:col>
      <xdr:colOff>607876</xdr:colOff>
      <xdr:row>97</xdr:row>
      <xdr:rowOff>337922</xdr:rowOff>
    </xdr:to>
    <xdr:pic>
      <xdr:nvPicPr>
        <xdr:cNvPr id="102" name="Grafik 68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113357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96</xdr:row>
      <xdr:rowOff>86183</xdr:rowOff>
    </xdr:from>
    <xdr:to>
      <xdr:col>2</xdr:col>
      <xdr:colOff>637189</xdr:colOff>
      <xdr:row>96</xdr:row>
      <xdr:rowOff>357629</xdr:rowOff>
    </xdr:to>
    <xdr:pic>
      <xdr:nvPicPr>
        <xdr:cNvPr id="103" name="Grafik 68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075668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72</xdr:row>
      <xdr:rowOff>34380</xdr:rowOff>
    </xdr:from>
    <xdr:to>
      <xdr:col>2</xdr:col>
      <xdr:colOff>621565</xdr:colOff>
      <xdr:row>72</xdr:row>
      <xdr:rowOff>380999</xdr:rowOff>
    </xdr:to>
    <xdr:pic>
      <xdr:nvPicPr>
        <xdr:cNvPr id="104" name="Grafik 1801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30358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112151</xdr:colOff>
      <xdr:row>51</xdr:row>
      <xdr:rowOff>12915</xdr:rowOff>
    </xdr:from>
    <xdr:to>
      <xdr:col>2</xdr:col>
      <xdr:colOff>697158</xdr:colOff>
      <xdr:row>51</xdr:row>
      <xdr:rowOff>384229</xdr:rowOff>
    </xdr:to>
    <xdr:pic>
      <xdr:nvPicPr>
        <xdr:cNvPr id="105" name="Grafik 112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1" t="14923" r="14533" b="20340"/>
        <a:stretch/>
      </xdr:blipFill>
      <xdr:spPr bwMode="auto">
        <a:xfrm>
          <a:off x="1410134" y="13489983"/>
          <a:ext cx="585007" cy="371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93</xdr:row>
      <xdr:rowOff>71438</xdr:rowOff>
    </xdr:from>
    <xdr:to>
      <xdr:col>2</xdr:col>
      <xdr:colOff>565715</xdr:colOff>
      <xdr:row>93</xdr:row>
      <xdr:rowOff>330653</xdr:rowOff>
    </xdr:to>
    <xdr:pic>
      <xdr:nvPicPr>
        <xdr:cNvPr id="106" name="Grafik 54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299418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43042" name="Group Box 34" hidden="1">
              <a:extLst>
                <a:ext uri="{63B3BB69-23CF-44E3-9099-C40C66FF867C}">
                  <a14:compatExt spid="_x0000_s43042"/>
                </a:ext>
                <a:ext uri="{FF2B5EF4-FFF2-40B4-BE49-F238E27FC236}">
                  <a16:creationId xmlns:a16="http://schemas.microsoft.com/office/drawing/2014/main" id="{00000000-0008-0000-0600-00002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43043" name="Option Button 35" hidden="1">
              <a:extLst>
                <a:ext uri="{63B3BB69-23CF-44E3-9099-C40C66FF867C}">
                  <a14:compatExt spid="_x0000_s43043"/>
                </a:ext>
                <a:ext uri="{FF2B5EF4-FFF2-40B4-BE49-F238E27FC236}">
                  <a16:creationId xmlns:a16="http://schemas.microsoft.com/office/drawing/2014/main" id="{00000000-0008-0000-0600-00002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43044" name="Option Button 36" hidden="1">
              <a:extLst>
                <a:ext uri="{63B3BB69-23CF-44E3-9099-C40C66FF867C}">
                  <a14:compatExt spid="_x0000_s43044"/>
                </a:ext>
                <a:ext uri="{FF2B5EF4-FFF2-40B4-BE49-F238E27FC236}">
                  <a16:creationId xmlns:a16="http://schemas.microsoft.com/office/drawing/2014/main" id="{00000000-0008-0000-0600-000024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7" name="Grafik 4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133350</xdr:colOff>
      <xdr:row>0</xdr:row>
      <xdr:rowOff>180975</xdr:rowOff>
    </xdr:from>
    <xdr:to>
      <xdr:col>7</xdr:col>
      <xdr:colOff>181395</xdr:colOff>
      <xdr:row>5</xdr:row>
      <xdr:rowOff>76200</xdr:rowOff>
    </xdr:to>
    <xdr:pic>
      <xdr:nvPicPr>
        <xdr:cNvPr id="108" name="Grafik 118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0" t="10370" r="20914" b="6482"/>
        <a:stretch>
          <a:fillRect/>
        </a:stretch>
      </xdr:blipFill>
      <xdr:spPr bwMode="auto">
        <a:xfrm>
          <a:off x="3838575" y="180975"/>
          <a:ext cx="141012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95</xdr:row>
      <xdr:rowOff>18316</xdr:rowOff>
    </xdr:from>
    <xdr:to>
      <xdr:col>2</xdr:col>
      <xdr:colOff>532488</xdr:colOff>
      <xdr:row>95</xdr:row>
      <xdr:rowOff>373673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305530</xdr:colOff>
      <xdr:row>94</xdr:row>
      <xdr:rowOff>19366</xdr:rowOff>
    </xdr:from>
    <xdr:to>
      <xdr:col>2</xdr:col>
      <xdr:colOff>452068</xdr:colOff>
      <xdr:row>94</xdr:row>
      <xdr:rowOff>391991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00930" y="3205194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52</xdr:row>
      <xdr:rowOff>30078</xdr:rowOff>
    </xdr:from>
    <xdr:to>
      <xdr:col>2</xdr:col>
      <xdr:colOff>643566</xdr:colOff>
      <xdr:row>52</xdr:row>
      <xdr:rowOff>390196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53</xdr:row>
      <xdr:rowOff>32083</xdr:rowOff>
    </xdr:from>
    <xdr:to>
      <xdr:col>2</xdr:col>
      <xdr:colOff>643566</xdr:colOff>
      <xdr:row>53</xdr:row>
      <xdr:rowOff>392201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54</xdr:row>
      <xdr:rowOff>17545</xdr:rowOff>
    </xdr:from>
    <xdr:to>
      <xdr:col>2</xdr:col>
      <xdr:colOff>636671</xdr:colOff>
      <xdr:row>54</xdr:row>
      <xdr:rowOff>393834</xdr:rowOff>
    </xdr:to>
    <xdr:pic>
      <xdr:nvPicPr>
        <xdr:cNvPr id="113" name="Grafik 20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90</xdr:row>
      <xdr:rowOff>33340</xdr:rowOff>
    </xdr:from>
    <xdr:to>
      <xdr:col>2</xdr:col>
      <xdr:colOff>686247</xdr:colOff>
      <xdr:row>90</xdr:row>
      <xdr:rowOff>370378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00188" y="29946603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</xdr:row>
      <xdr:rowOff>0</xdr:rowOff>
    </xdr:from>
    <xdr:to>
      <xdr:col>4</xdr:col>
      <xdr:colOff>602008</xdr:colOff>
      <xdr:row>3</xdr:row>
      <xdr:rowOff>133348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85925" y="352425"/>
          <a:ext cx="1706908" cy="676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342900</xdr:colOff>
          <xdr:row>9</xdr:row>
          <xdr:rowOff>0</xdr:rowOff>
        </xdr:to>
        <xdr:sp macro="" textlink="">
          <xdr:nvSpPr>
            <xdr:cNvPr id="50177" name="Group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342900</xdr:colOff>
          <xdr:row>21</xdr:row>
          <xdr:rowOff>0</xdr:rowOff>
        </xdr:to>
        <xdr:sp macro="" textlink="">
          <xdr:nvSpPr>
            <xdr:cNvPr id="50179" name="Group Box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7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33</xdr:row>
      <xdr:rowOff>114403</xdr:rowOff>
    </xdr:from>
    <xdr:to>
      <xdr:col>2</xdr:col>
      <xdr:colOff>532303</xdr:colOff>
      <xdr:row>33</xdr:row>
      <xdr:rowOff>304360</xdr:rowOff>
    </xdr:to>
    <xdr:pic>
      <xdr:nvPicPr>
        <xdr:cNvPr id="6" name="Grafik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2992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34</xdr:row>
      <xdr:rowOff>62318</xdr:rowOff>
    </xdr:from>
    <xdr:to>
      <xdr:col>2</xdr:col>
      <xdr:colOff>584993</xdr:colOff>
      <xdr:row>34</xdr:row>
      <xdr:rowOff>357188</xdr:rowOff>
    </xdr:to>
    <xdr:pic>
      <xdr:nvPicPr>
        <xdr:cNvPr id="7" name="Grafik 2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67298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35</xdr:row>
      <xdr:rowOff>57149</xdr:rowOff>
    </xdr:from>
    <xdr:to>
      <xdr:col>2</xdr:col>
      <xdr:colOff>564911</xdr:colOff>
      <xdr:row>35</xdr:row>
      <xdr:rowOff>364330</xdr:rowOff>
    </xdr:to>
    <xdr:pic>
      <xdr:nvPicPr>
        <xdr:cNvPr id="8" name="Grafik 10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1246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36</xdr:row>
      <xdr:rowOff>63500</xdr:rowOff>
    </xdr:from>
    <xdr:to>
      <xdr:col>2</xdr:col>
      <xdr:colOff>606320</xdr:colOff>
      <xdr:row>36</xdr:row>
      <xdr:rowOff>359570</xdr:rowOff>
    </xdr:to>
    <xdr:pic>
      <xdr:nvPicPr>
        <xdr:cNvPr id="9" name="Grafik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5311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312420</xdr:colOff>
          <xdr:row>16</xdr:row>
          <xdr:rowOff>182880</xdr:rowOff>
        </xdr:to>
        <xdr:sp macro="" textlink="">
          <xdr:nvSpPr>
            <xdr:cNvPr id="50185" name="Option Button 9" hidden="1">
              <a:extLst>
                <a:ext uri="{63B3BB69-23CF-44E3-9099-C40C66FF867C}">
                  <a14:compatExt spid="_x0000_s50185"/>
                </a:ext>
                <a:ext uri="{FF2B5EF4-FFF2-40B4-BE49-F238E27FC236}">
                  <a16:creationId xmlns:a16="http://schemas.microsoft.com/office/drawing/2014/main" id="{00000000-0008-0000-0700-00000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312420</xdr:colOff>
          <xdr:row>17</xdr:row>
          <xdr:rowOff>182880</xdr:rowOff>
        </xdr:to>
        <xdr:sp macro="" textlink="">
          <xdr:nvSpPr>
            <xdr:cNvPr id="50186" name="Option Button 10" hidden="1">
              <a:extLst>
                <a:ext uri="{63B3BB69-23CF-44E3-9099-C40C66FF867C}">
                  <a14:compatExt spid="_x0000_s50186"/>
                </a:ext>
                <a:ext uri="{FF2B5EF4-FFF2-40B4-BE49-F238E27FC236}">
                  <a16:creationId xmlns:a16="http://schemas.microsoft.com/office/drawing/2014/main" id="{00000000-0008-0000-0700-00000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312420</xdr:colOff>
          <xdr:row>18</xdr:row>
          <xdr:rowOff>182880</xdr:rowOff>
        </xdr:to>
        <xdr:sp macro="" textlink="">
          <xdr:nvSpPr>
            <xdr:cNvPr id="50187" name="Option Button 11" hidden="1">
              <a:extLst>
                <a:ext uri="{63B3BB69-23CF-44E3-9099-C40C66FF867C}">
                  <a14:compatExt spid="_x0000_s50187"/>
                </a:ext>
                <a:ext uri="{FF2B5EF4-FFF2-40B4-BE49-F238E27FC236}">
                  <a16:creationId xmlns:a16="http://schemas.microsoft.com/office/drawing/2014/main" id="{00000000-0008-0000-0700-00000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312420</xdr:colOff>
          <xdr:row>19</xdr:row>
          <xdr:rowOff>182880</xdr:rowOff>
        </xdr:to>
        <xdr:sp macro="" textlink="">
          <xdr:nvSpPr>
            <xdr:cNvPr id="50188" name="Option Button 12" hidden="1">
              <a:extLst>
                <a:ext uri="{63B3BB69-23CF-44E3-9099-C40C66FF867C}">
                  <a14:compatExt spid="_x0000_s50188"/>
                </a:ext>
                <a:ext uri="{FF2B5EF4-FFF2-40B4-BE49-F238E27FC236}">
                  <a16:creationId xmlns:a16="http://schemas.microsoft.com/office/drawing/2014/main" id="{00000000-0008-0000-0700-00000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30480</xdr:rowOff>
        </xdr:from>
        <xdr:to>
          <xdr:col>10</xdr:col>
          <xdr:colOff>312420</xdr:colOff>
          <xdr:row>16</xdr:row>
          <xdr:rowOff>0</xdr:rowOff>
        </xdr:to>
        <xdr:sp macro="" textlink="">
          <xdr:nvSpPr>
            <xdr:cNvPr id="50189" name="Option Button 13" hidden="1">
              <a:extLst>
                <a:ext uri="{63B3BB69-23CF-44E3-9099-C40C66FF867C}">
                  <a14:compatExt spid="_x0000_s50189"/>
                </a:ext>
                <a:ext uri="{FF2B5EF4-FFF2-40B4-BE49-F238E27FC236}">
                  <a16:creationId xmlns:a16="http://schemas.microsoft.com/office/drawing/2014/main" id="{00000000-0008-0000-0700-00000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7620</xdr:rowOff>
        </xdr:from>
        <xdr:to>
          <xdr:col>10</xdr:col>
          <xdr:colOff>312420</xdr:colOff>
          <xdr:row>16</xdr:row>
          <xdr:rowOff>182880</xdr:rowOff>
        </xdr:to>
        <xdr:sp macro="" textlink="">
          <xdr:nvSpPr>
            <xdr:cNvPr id="50190" name="Option Button 14" hidden="1">
              <a:extLst>
                <a:ext uri="{63B3BB69-23CF-44E3-9099-C40C66FF867C}">
                  <a14:compatExt spid="_x0000_s50190"/>
                </a:ext>
                <a:ext uri="{FF2B5EF4-FFF2-40B4-BE49-F238E27FC236}">
                  <a16:creationId xmlns:a16="http://schemas.microsoft.com/office/drawing/2014/main" id="{00000000-0008-0000-0700-00000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18</xdr:row>
          <xdr:rowOff>0</xdr:rowOff>
        </xdr:from>
        <xdr:to>
          <xdr:col>10</xdr:col>
          <xdr:colOff>312420</xdr:colOff>
          <xdr:row>18</xdr:row>
          <xdr:rowOff>160020</xdr:rowOff>
        </xdr:to>
        <xdr:sp macro="" textlink="">
          <xdr:nvSpPr>
            <xdr:cNvPr id="50191" name="Option Button 15" hidden="1">
              <a:extLst>
                <a:ext uri="{63B3BB69-23CF-44E3-9099-C40C66FF867C}">
                  <a14:compatExt spid="_x0000_s50191"/>
                </a:ext>
                <a:ext uri="{FF2B5EF4-FFF2-40B4-BE49-F238E27FC236}">
                  <a16:creationId xmlns:a16="http://schemas.microsoft.com/office/drawing/2014/main" id="{00000000-0008-0000-0700-00000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0</xdr:rowOff>
        </xdr:from>
        <xdr:to>
          <xdr:col>10</xdr:col>
          <xdr:colOff>388620</xdr:colOff>
          <xdr:row>18</xdr:row>
          <xdr:rowOff>0</xdr:rowOff>
        </xdr:to>
        <xdr:sp macro="" textlink="">
          <xdr:nvSpPr>
            <xdr:cNvPr id="50192" name="Option Button 16" hidden="1">
              <a:extLst>
                <a:ext uri="{63B3BB69-23CF-44E3-9099-C40C66FF867C}">
                  <a14:compatExt spid="_x0000_s50192"/>
                </a:ext>
                <a:ext uri="{FF2B5EF4-FFF2-40B4-BE49-F238E27FC236}">
                  <a16:creationId xmlns:a16="http://schemas.microsoft.com/office/drawing/2014/main" id="{00000000-0008-0000-0700-00001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312420</xdr:colOff>
          <xdr:row>20</xdr:row>
          <xdr:rowOff>182880</xdr:rowOff>
        </xdr:to>
        <xdr:sp macro="" textlink="">
          <xdr:nvSpPr>
            <xdr:cNvPr id="50193" name="Option Button 17" hidden="1">
              <a:extLst>
                <a:ext uri="{63B3BB69-23CF-44E3-9099-C40C66FF867C}">
                  <a14:compatExt spid="_x0000_s50193"/>
                </a:ext>
                <a:ext uri="{FF2B5EF4-FFF2-40B4-BE49-F238E27FC236}">
                  <a16:creationId xmlns:a16="http://schemas.microsoft.com/office/drawing/2014/main" id="{00000000-0008-0000-0700-00001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37</xdr:row>
      <xdr:rowOff>79975</xdr:rowOff>
    </xdr:from>
    <xdr:to>
      <xdr:col>2</xdr:col>
      <xdr:colOff>645534</xdr:colOff>
      <xdr:row>37</xdr:row>
      <xdr:rowOff>342361</xdr:rowOff>
    </xdr:to>
    <xdr:pic>
      <xdr:nvPicPr>
        <xdr:cNvPr id="28" name="Grafik 3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79476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38</xdr:row>
      <xdr:rowOff>58409</xdr:rowOff>
    </xdr:from>
    <xdr:to>
      <xdr:col>2</xdr:col>
      <xdr:colOff>525673</xdr:colOff>
      <xdr:row>38</xdr:row>
      <xdr:rowOff>355066</xdr:rowOff>
    </xdr:to>
    <xdr:pic>
      <xdr:nvPicPr>
        <xdr:cNvPr id="29" name="Grafik 1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3261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39</xdr:row>
      <xdr:rowOff>58407</xdr:rowOff>
    </xdr:from>
    <xdr:to>
      <xdr:col>2</xdr:col>
      <xdr:colOff>593018</xdr:colOff>
      <xdr:row>39</xdr:row>
      <xdr:rowOff>363926</xdr:rowOff>
    </xdr:to>
    <xdr:pic>
      <xdr:nvPicPr>
        <xdr:cNvPr id="30" name="Grafik 1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87261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40</xdr:row>
      <xdr:rowOff>62002</xdr:rowOff>
    </xdr:from>
    <xdr:to>
      <xdr:col>2</xdr:col>
      <xdr:colOff>597559</xdr:colOff>
      <xdr:row>40</xdr:row>
      <xdr:rowOff>363927</xdr:rowOff>
    </xdr:to>
    <xdr:pic>
      <xdr:nvPicPr>
        <xdr:cNvPr id="31" name="Grafik 13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1298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41</xdr:row>
      <xdr:rowOff>59126</xdr:rowOff>
    </xdr:from>
    <xdr:to>
      <xdr:col>2</xdr:col>
      <xdr:colOff>583183</xdr:colOff>
      <xdr:row>41</xdr:row>
      <xdr:rowOff>363926</xdr:rowOff>
    </xdr:to>
    <xdr:pic>
      <xdr:nvPicPr>
        <xdr:cNvPr id="32" name="Grafik 14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5269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42</xdr:row>
      <xdr:rowOff>58410</xdr:rowOff>
    </xdr:from>
    <xdr:to>
      <xdr:col>2</xdr:col>
      <xdr:colOff>611935</xdr:colOff>
      <xdr:row>42</xdr:row>
      <xdr:rowOff>367524</xdr:rowOff>
    </xdr:to>
    <xdr:pic>
      <xdr:nvPicPr>
        <xdr:cNvPr id="33" name="Grafik 15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99263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44</xdr:row>
      <xdr:rowOff>54812</xdr:rowOff>
    </xdr:from>
    <xdr:to>
      <xdr:col>2</xdr:col>
      <xdr:colOff>608342</xdr:colOff>
      <xdr:row>44</xdr:row>
      <xdr:rowOff>363925</xdr:rowOff>
    </xdr:to>
    <xdr:pic>
      <xdr:nvPicPr>
        <xdr:cNvPr id="34" name="Grafik 16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07228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43</xdr:row>
      <xdr:rowOff>54815</xdr:rowOff>
    </xdr:from>
    <xdr:to>
      <xdr:col>2</xdr:col>
      <xdr:colOff>611935</xdr:colOff>
      <xdr:row>43</xdr:row>
      <xdr:rowOff>363929</xdr:rowOff>
    </xdr:to>
    <xdr:pic>
      <xdr:nvPicPr>
        <xdr:cNvPr id="36" name="Grafik 1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227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48</xdr:row>
      <xdr:rowOff>69191</xdr:rowOff>
    </xdr:from>
    <xdr:to>
      <xdr:col>2</xdr:col>
      <xdr:colOff>567905</xdr:colOff>
      <xdr:row>48</xdr:row>
      <xdr:rowOff>354941</xdr:rowOff>
    </xdr:to>
    <xdr:pic>
      <xdr:nvPicPr>
        <xdr:cNvPr id="39" name="Grafik 1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19373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58</xdr:row>
      <xdr:rowOff>63261</xdr:rowOff>
    </xdr:from>
    <xdr:to>
      <xdr:col>2</xdr:col>
      <xdr:colOff>597556</xdr:colOff>
      <xdr:row>58</xdr:row>
      <xdr:rowOff>364689</xdr:rowOff>
    </xdr:to>
    <xdr:pic>
      <xdr:nvPicPr>
        <xdr:cNvPr id="45" name="Grafik 2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3317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55</xdr:row>
      <xdr:rowOff>60533</xdr:rowOff>
    </xdr:from>
    <xdr:to>
      <xdr:col>2</xdr:col>
      <xdr:colOff>514890</xdr:colOff>
      <xdr:row>55</xdr:row>
      <xdr:rowOff>356739</xdr:rowOff>
    </xdr:to>
    <xdr:pic>
      <xdr:nvPicPr>
        <xdr:cNvPr id="46" name="Grafik 69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35288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59</xdr:row>
      <xdr:rowOff>59666</xdr:rowOff>
    </xdr:from>
    <xdr:to>
      <xdr:col>2</xdr:col>
      <xdr:colOff>597556</xdr:colOff>
      <xdr:row>59</xdr:row>
      <xdr:rowOff>361094</xdr:rowOff>
    </xdr:to>
    <xdr:pic>
      <xdr:nvPicPr>
        <xdr:cNvPr id="47" name="Grafik 24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7281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60</xdr:row>
      <xdr:rowOff>63260</xdr:rowOff>
    </xdr:from>
    <xdr:to>
      <xdr:col>2</xdr:col>
      <xdr:colOff>597556</xdr:colOff>
      <xdr:row>60</xdr:row>
      <xdr:rowOff>364688</xdr:rowOff>
    </xdr:to>
    <xdr:pic>
      <xdr:nvPicPr>
        <xdr:cNvPr id="48" name="Grafik 24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61</xdr:row>
      <xdr:rowOff>59665</xdr:rowOff>
    </xdr:from>
    <xdr:to>
      <xdr:col>2</xdr:col>
      <xdr:colOff>597556</xdr:colOff>
      <xdr:row>61</xdr:row>
      <xdr:rowOff>361093</xdr:rowOff>
    </xdr:to>
    <xdr:pic>
      <xdr:nvPicPr>
        <xdr:cNvPr id="49" name="Grafik 24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67</xdr:row>
      <xdr:rowOff>63261</xdr:rowOff>
    </xdr:from>
    <xdr:to>
      <xdr:col>2</xdr:col>
      <xdr:colOff>554074</xdr:colOff>
      <xdr:row>67</xdr:row>
      <xdr:rowOff>360332</xdr:rowOff>
    </xdr:to>
    <xdr:pic>
      <xdr:nvPicPr>
        <xdr:cNvPr id="51" name="Grafik 180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67320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70</xdr:row>
      <xdr:rowOff>57330</xdr:rowOff>
    </xdr:from>
    <xdr:to>
      <xdr:col>2</xdr:col>
      <xdr:colOff>569077</xdr:colOff>
      <xdr:row>70</xdr:row>
      <xdr:rowOff>363927</xdr:rowOff>
    </xdr:to>
    <xdr:pic>
      <xdr:nvPicPr>
        <xdr:cNvPr id="52" name="Grafik 180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75261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71</xdr:row>
      <xdr:rowOff>66855</xdr:rowOff>
    </xdr:from>
    <xdr:to>
      <xdr:col>2</xdr:col>
      <xdr:colOff>629917</xdr:colOff>
      <xdr:row>71</xdr:row>
      <xdr:rowOff>356739</xdr:rowOff>
    </xdr:to>
    <xdr:pic>
      <xdr:nvPicPr>
        <xdr:cNvPr id="53" name="Grafik 86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79357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66</xdr:row>
      <xdr:rowOff>59664</xdr:rowOff>
    </xdr:from>
    <xdr:to>
      <xdr:col>2</xdr:col>
      <xdr:colOff>524416</xdr:colOff>
      <xdr:row>66</xdr:row>
      <xdr:rowOff>363927</xdr:rowOff>
    </xdr:to>
    <xdr:pic>
      <xdr:nvPicPr>
        <xdr:cNvPr id="54" name="Grafik 3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63283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72</xdr:row>
      <xdr:rowOff>58408</xdr:rowOff>
    </xdr:from>
    <xdr:to>
      <xdr:col>2</xdr:col>
      <xdr:colOff>477051</xdr:colOff>
      <xdr:row>72</xdr:row>
      <xdr:rowOff>360332</xdr:rowOff>
    </xdr:to>
    <xdr:pic>
      <xdr:nvPicPr>
        <xdr:cNvPr id="55" name="Grafik 1803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3273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73</xdr:row>
      <xdr:rowOff>62003</xdr:rowOff>
    </xdr:from>
    <xdr:to>
      <xdr:col>2</xdr:col>
      <xdr:colOff>477051</xdr:colOff>
      <xdr:row>73</xdr:row>
      <xdr:rowOff>363927</xdr:rowOff>
    </xdr:to>
    <xdr:pic>
      <xdr:nvPicPr>
        <xdr:cNvPr id="56" name="Grafik 180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7310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74</xdr:row>
      <xdr:rowOff>62003</xdr:rowOff>
    </xdr:from>
    <xdr:to>
      <xdr:col>2</xdr:col>
      <xdr:colOff>600642</xdr:colOff>
      <xdr:row>74</xdr:row>
      <xdr:rowOff>360333</xdr:rowOff>
    </xdr:to>
    <xdr:pic>
      <xdr:nvPicPr>
        <xdr:cNvPr id="57" name="Grafik 1804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1310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77</xdr:row>
      <xdr:rowOff>59668</xdr:rowOff>
    </xdr:from>
    <xdr:to>
      <xdr:col>2</xdr:col>
      <xdr:colOff>496724</xdr:colOff>
      <xdr:row>77</xdr:row>
      <xdr:rowOff>360334</xdr:rowOff>
    </xdr:to>
    <xdr:pic>
      <xdr:nvPicPr>
        <xdr:cNvPr id="61" name="Grafik 1809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15290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78</xdr:row>
      <xdr:rowOff>59486</xdr:rowOff>
    </xdr:from>
    <xdr:to>
      <xdr:col>2</xdr:col>
      <xdr:colOff>592475</xdr:colOff>
      <xdr:row>78</xdr:row>
      <xdr:rowOff>363927</xdr:rowOff>
    </xdr:to>
    <xdr:pic>
      <xdr:nvPicPr>
        <xdr:cNvPr id="62" name="Grafik 1810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19288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75</xdr:row>
      <xdr:rowOff>63262</xdr:rowOff>
    </xdr:from>
    <xdr:to>
      <xdr:col>2</xdr:col>
      <xdr:colOff>564622</xdr:colOff>
      <xdr:row>75</xdr:row>
      <xdr:rowOff>356738</xdr:rowOff>
    </xdr:to>
    <xdr:pic>
      <xdr:nvPicPr>
        <xdr:cNvPr id="63" name="Grafik 1805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195323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79</xdr:row>
      <xdr:rowOff>58408</xdr:rowOff>
    </xdr:from>
    <xdr:to>
      <xdr:col>2</xdr:col>
      <xdr:colOff>530349</xdr:colOff>
      <xdr:row>79</xdr:row>
      <xdr:rowOff>360333</xdr:rowOff>
    </xdr:to>
    <xdr:pic>
      <xdr:nvPicPr>
        <xdr:cNvPr id="64" name="Grafik 181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23278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80</xdr:row>
      <xdr:rowOff>62001</xdr:rowOff>
    </xdr:from>
    <xdr:to>
      <xdr:col>2</xdr:col>
      <xdr:colOff>549693</xdr:colOff>
      <xdr:row>80</xdr:row>
      <xdr:rowOff>363927</xdr:rowOff>
    </xdr:to>
    <xdr:pic>
      <xdr:nvPicPr>
        <xdr:cNvPr id="65" name="Grafik 1811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27315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81</xdr:row>
      <xdr:rowOff>62002</xdr:rowOff>
    </xdr:from>
    <xdr:to>
      <xdr:col>2</xdr:col>
      <xdr:colOff>503461</xdr:colOff>
      <xdr:row>81</xdr:row>
      <xdr:rowOff>360333</xdr:rowOff>
    </xdr:to>
    <xdr:pic>
      <xdr:nvPicPr>
        <xdr:cNvPr id="66" name="Grafik 181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1315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82</xdr:row>
      <xdr:rowOff>56970</xdr:rowOff>
    </xdr:from>
    <xdr:to>
      <xdr:col>2</xdr:col>
      <xdr:colOff>564635</xdr:colOff>
      <xdr:row>82</xdr:row>
      <xdr:rowOff>360332</xdr:rowOff>
    </xdr:to>
    <xdr:pic>
      <xdr:nvPicPr>
        <xdr:cNvPr id="67" name="Grafik 181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5265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83</xdr:row>
      <xdr:rowOff>60564</xdr:rowOff>
    </xdr:from>
    <xdr:to>
      <xdr:col>2</xdr:col>
      <xdr:colOff>564635</xdr:colOff>
      <xdr:row>83</xdr:row>
      <xdr:rowOff>363926</xdr:rowOff>
    </xdr:to>
    <xdr:pic>
      <xdr:nvPicPr>
        <xdr:cNvPr id="68" name="Grafik 1812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9302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84</xdr:row>
      <xdr:rowOff>56970</xdr:rowOff>
    </xdr:from>
    <xdr:to>
      <xdr:col>2</xdr:col>
      <xdr:colOff>564635</xdr:colOff>
      <xdr:row>84</xdr:row>
      <xdr:rowOff>360332</xdr:rowOff>
    </xdr:to>
    <xdr:pic>
      <xdr:nvPicPr>
        <xdr:cNvPr id="69" name="Grafik 181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85</xdr:row>
      <xdr:rowOff>60563</xdr:rowOff>
    </xdr:from>
    <xdr:to>
      <xdr:col>2</xdr:col>
      <xdr:colOff>564635</xdr:colOff>
      <xdr:row>85</xdr:row>
      <xdr:rowOff>363925</xdr:rowOff>
    </xdr:to>
    <xdr:pic>
      <xdr:nvPicPr>
        <xdr:cNvPr id="70" name="Grafik 1812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86</xdr:row>
      <xdr:rowOff>60563</xdr:rowOff>
    </xdr:from>
    <xdr:to>
      <xdr:col>2</xdr:col>
      <xdr:colOff>564635</xdr:colOff>
      <xdr:row>86</xdr:row>
      <xdr:rowOff>363925</xdr:rowOff>
    </xdr:to>
    <xdr:pic>
      <xdr:nvPicPr>
        <xdr:cNvPr id="71" name="Grafik 181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303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88</xdr:row>
      <xdr:rowOff>58408</xdr:rowOff>
    </xdr:from>
    <xdr:to>
      <xdr:col>2</xdr:col>
      <xdr:colOff>594684</xdr:colOff>
      <xdr:row>88</xdr:row>
      <xdr:rowOff>363208</xdr:rowOff>
    </xdr:to>
    <xdr:pic>
      <xdr:nvPicPr>
        <xdr:cNvPr id="72" name="Grafik 1813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59283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95</xdr:row>
      <xdr:rowOff>63260</xdr:rowOff>
    </xdr:from>
    <xdr:to>
      <xdr:col>2</xdr:col>
      <xdr:colOff>588843</xdr:colOff>
      <xdr:row>95</xdr:row>
      <xdr:rowOff>360332</xdr:rowOff>
    </xdr:to>
    <xdr:pic>
      <xdr:nvPicPr>
        <xdr:cNvPr id="73" name="Grafik 10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75333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89</xdr:row>
      <xdr:rowOff>122926</xdr:rowOff>
    </xdr:from>
    <xdr:to>
      <xdr:col>2</xdr:col>
      <xdr:colOff>554607</xdr:colOff>
      <xdr:row>89</xdr:row>
      <xdr:rowOff>303901</xdr:rowOff>
    </xdr:to>
    <xdr:pic>
      <xdr:nvPicPr>
        <xdr:cNvPr id="79" name="Grafik 54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63928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342900</xdr:colOff>
          <xdr:row>13</xdr:row>
          <xdr:rowOff>0</xdr:rowOff>
        </xdr:to>
        <xdr:sp macro="" textlink="">
          <xdr:nvSpPr>
            <xdr:cNvPr id="50194" name="Group Box 18" hidden="1">
              <a:extLst>
                <a:ext uri="{63B3BB69-23CF-44E3-9099-C40C66FF867C}">
                  <a14:compatExt spid="_x0000_s50194"/>
                </a:ext>
                <a:ext uri="{FF2B5EF4-FFF2-40B4-BE49-F238E27FC236}">
                  <a16:creationId xmlns:a16="http://schemas.microsoft.com/office/drawing/2014/main" id="{00000000-0008-0000-0700-00001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0201" name="Option Button 25" hidden="1">
              <a:extLst>
                <a:ext uri="{63B3BB69-23CF-44E3-9099-C40C66FF867C}">
                  <a14:compatExt spid="_x0000_s50201"/>
                </a:ext>
                <a:ext uri="{FF2B5EF4-FFF2-40B4-BE49-F238E27FC236}">
                  <a16:creationId xmlns:a16="http://schemas.microsoft.com/office/drawing/2014/main" id="{00000000-0008-0000-0700-00001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96</xdr:row>
      <xdr:rowOff>61563</xdr:rowOff>
    </xdr:from>
    <xdr:to>
      <xdr:col>2</xdr:col>
      <xdr:colOff>602047</xdr:colOff>
      <xdr:row>96</xdr:row>
      <xdr:rowOff>366745</xdr:rowOff>
    </xdr:to>
    <xdr:pic>
      <xdr:nvPicPr>
        <xdr:cNvPr id="89" name="Grafik 10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7931713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68580</xdr:colOff>
          <xdr:row>15</xdr:row>
          <xdr:rowOff>7620</xdr:rowOff>
        </xdr:from>
        <xdr:to>
          <xdr:col>12</xdr:col>
          <xdr:colOff>114300</xdr:colOff>
          <xdr:row>15</xdr:row>
          <xdr:rowOff>68580</xdr:rowOff>
        </xdr:to>
        <xdr:sp macro="" textlink="">
          <xdr:nvSpPr>
            <xdr:cNvPr id="50203" name="Option Button 27" hidden="1">
              <a:extLst>
                <a:ext uri="{63B3BB69-23CF-44E3-9099-C40C66FF867C}">
                  <a14:compatExt spid="_x0000_s50203"/>
                </a:ext>
                <a:ext uri="{FF2B5EF4-FFF2-40B4-BE49-F238E27FC236}">
                  <a16:creationId xmlns:a16="http://schemas.microsoft.com/office/drawing/2014/main" id="{00000000-0008-0000-0700-00001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32</xdr:row>
      <xdr:rowOff>62002</xdr:rowOff>
    </xdr:from>
    <xdr:to>
      <xdr:col>2</xdr:col>
      <xdr:colOff>568804</xdr:colOff>
      <xdr:row>32</xdr:row>
      <xdr:rowOff>363781</xdr:rowOff>
    </xdr:to>
    <xdr:pic>
      <xdr:nvPicPr>
        <xdr:cNvPr id="93" name="Grafik 90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59294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68</xdr:row>
          <xdr:rowOff>68580</xdr:rowOff>
        </xdr:from>
        <xdr:to>
          <xdr:col>2</xdr:col>
          <xdr:colOff>601980</xdr:colOff>
          <xdr:row>68</xdr:row>
          <xdr:rowOff>373380</xdr:rowOff>
        </xdr:to>
        <xdr:sp macro="" textlink="">
          <xdr:nvSpPr>
            <xdr:cNvPr id="50204" name="Object 28" hidden="1">
              <a:extLst>
                <a:ext uri="{63B3BB69-23CF-44E3-9099-C40C66FF867C}">
                  <a14:compatExt spid="_x0000_s50204"/>
                </a:ext>
                <a:ext uri="{FF2B5EF4-FFF2-40B4-BE49-F238E27FC236}">
                  <a16:creationId xmlns:a16="http://schemas.microsoft.com/office/drawing/2014/main" id="{00000000-0008-0000-0700-00001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96612</xdr:colOff>
      <xdr:row>76</xdr:row>
      <xdr:rowOff>63955</xdr:rowOff>
    </xdr:from>
    <xdr:to>
      <xdr:col>2</xdr:col>
      <xdr:colOff>651783</xdr:colOff>
      <xdr:row>76</xdr:row>
      <xdr:rowOff>362893</xdr:rowOff>
    </xdr:to>
    <xdr:pic>
      <xdr:nvPicPr>
        <xdr:cNvPr id="95" name="Grafik 1805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1993310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63954</xdr:colOff>
      <xdr:row>30</xdr:row>
      <xdr:rowOff>69397</xdr:rowOff>
    </xdr:from>
    <xdr:to>
      <xdr:col>2</xdr:col>
      <xdr:colOff>673053</xdr:colOff>
      <xdr:row>30</xdr:row>
      <xdr:rowOff>355147</xdr:rowOff>
    </xdr:to>
    <xdr:pic>
      <xdr:nvPicPr>
        <xdr:cNvPr id="96" name="Grafik 103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" t="17046" r="3316" b="18465"/>
        <a:stretch>
          <a:fillRect/>
        </a:stretch>
      </xdr:blipFill>
      <xdr:spPr bwMode="auto">
        <a:xfrm>
          <a:off x="1359354" y="5136697"/>
          <a:ext cx="60909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156485</xdr:colOff>
      <xdr:row>31</xdr:row>
      <xdr:rowOff>74839</xdr:rowOff>
    </xdr:from>
    <xdr:to>
      <xdr:col>2</xdr:col>
      <xdr:colOff>574719</xdr:colOff>
      <xdr:row>31</xdr:row>
      <xdr:rowOff>356507</xdr:rowOff>
    </xdr:to>
    <xdr:pic>
      <xdr:nvPicPr>
        <xdr:cNvPr id="97" name="Grafik 10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t="8551" r="13507" b="12268"/>
        <a:stretch>
          <a:fillRect/>
        </a:stretch>
      </xdr:blipFill>
      <xdr:spPr bwMode="auto">
        <a:xfrm>
          <a:off x="1451885" y="5542189"/>
          <a:ext cx="418234" cy="281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312420</xdr:colOff>
          <xdr:row>15</xdr:row>
          <xdr:rowOff>182880</xdr:rowOff>
        </xdr:to>
        <xdr:sp macro="" textlink="">
          <xdr:nvSpPr>
            <xdr:cNvPr id="50206" name="Option Button 30" hidden="1">
              <a:extLst>
                <a:ext uri="{63B3BB69-23CF-44E3-9099-C40C66FF867C}">
                  <a14:compatExt spid="_x0000_s50206"/>
                </a:ext>
                <a:ext uri="{FF2B5EF4-FFF2-40B4-BE49-F238E27FC236}">
                  <a16:creationId xmlns:a16="http://schemas.microsoft.com/office/drawing/2014/main" id="{00000000-0008-0000-0700-00001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342900</xdr:colOff>
          <xdr:row>12</xdr:row>
          <xdr:rowOff>182880</xdr:rowOff>
        </xdr:to>
        <xdr:sp macro="" textlink="">
          <xdr:nvSpPr>
            <xdr:cNvPr id="50207" name="Option Button 31" hidden="1">
              <a:extLst>
                <a:ext uri="{63B3BB69-23CF-44E3-9099-C40C66FF867C}">
                  <a14:compatExt spid="_x0000_s50207"/>
                </a:ext>
                <a:ext uri="{FF2B5EF4-FFF2-40B4-BE49-F238E27FC236}">
                  <a16:creationId xmlns:a16="http://schemas.microsoft.com/office/drawing/2014/main" id="{00000000-0008-0000-0700-00001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0208" name="Option Button 32" hidden="1">
              <a:extLst>
                <a:ext uri="{63B3BB69-23CF-44E3-9099-C40C66FF867C}">
                  <a14:compatExt spid="_x0000_s50208"/>
                </a:ext>
                <a:ext uri="{FF2B5EF4-FFF2-40B4-BE49-F238E27FC236}">
                  <a16:creationId xmlns:a16="http://schemas.microsoft.com/office/drawing/2014/main" id="{00000000-0008-0000-0700-00002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118256</xdr:colOff>
      <xdr:row>45</xdr:row>
      <xdr:rowOff>67255</xdr:rowOff>
    </xdr:from>
    <xdr:to>
      <xdr:col>2</xdr:col>
      <xdr:colOff>650218</xdr:colOff>
      <xdr:row>45</xdr:row>
      <xdr:rowOff>363926</xdr:rowOff>
    </xdr:to>
    <xdr:pic>
      <xdr:nvPicPr>
        <xdr:cNvPr id="81" name="Grafik 17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93540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47</xdr:row>
      <xdr:rowOff>63660</xdr:rowOff>
    </xdr:from>
    <xdr:to>
      <xdr:col>2</xdr:col>
      <xdr:colOff>650218</xdr:colOff>
      <xdr:row>47</xdr:row>
      <xdr:rowOff>360331</xdr:rowOff>
    </xdr:to>
    <xdr:pic>
      <xdr:nvPicPr>
        <xdr:cNvPr id="82" name="Grafik 17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7319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46</xdr:row>
      <xdr:rowOff>63660</xdr:rowOff>
    </xdr:from>
    <xdr:to>
      <xdr:col>2</xdr:col>
      <xdr:colOff>650218</xdr:colOff>
      <xdr:row>46</xdr:row>
      <xdr:rowOff>360331</xdr:rowOff>
    </xdr:to>
    <xdr:pic>
      <xdr:nvPicPr>
        <xdr:cNvPr id="83" name="Grafik 17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52</xdr:row>
      <xdr:rowOff>52478</xdr:rowOff>
    </xdr:from>
    <xdr:to>
      <xdr:col>2</xdr:col>
      <xdr:colOff>575814</xdr:colOff>
      <xdr:row>52</xdr:row>
      <xdr:rowOff>347753</xdr:rowOff>
    </xdr:to>
    <xdr:pic>
      <xdr:nvPicPr>
        <xdr:cNvPr id="86" name="Grafik 46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53</xdr:row>
      <xdr:rowOff>52477</xdr:rowOff>
    </xdr:from>
    <xdr:to>
      <xdr:col>2</xdr:col>
      <xdr:colOff>575814</xdr:colOff>
      <xdr:row>53</xdr:row>
      <xdr:rowOff>347752</xdr:rowOff>
    </xdr:to>
    <xdr:pic>
      <xdr:nvPicPr>
        <xdr:cNvPr id="87" name="Grafik 4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3209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54</xdr:row>
      <xdr:rowOff>52477</xdr:rowOff>
    </xdr:from>
    <xdr:to>
      <xdr:col>2</xdr:col>
      <xdr:colOff>575814</xdr:colOff>
      <xdr:row>54</xdr:row>
      <xdr:rowOff>347752</xdr:rowOff>
    </xdr:to>
    <xdr:pic>
      <xdr:nvPicPr>
        <xdr:cNvPr id="88" name="Grafik 46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7209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57</xdr:row>
      <xdr:rowOff>32133</xdr:rowOff>
    </xdr:from>
    <xdr:to>
      <xdr:col>2</xdr:col>
      <xdr:colOff>645842</xdr:colOff>
      <xdr:row>57</xdr:row>
      <xdr:rowOff>394938</xdr:rowOff>
    </xdr:to>
    <xdr:pic>
      <xdr:nvPicPr>
        <xdr:cNvPr id="90" name="Grafik 23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90078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101635</xdr:colOff>
      <xdr:row>56</xdr:row>
      <xdr:rowOff>32133</xdr:rowOff>
    </xdr:from>
    <xdr:to>
      <xdr:col>2</xdr:col>
      <xdr:colOff>645842</xdr:colOff>
      <xdr:row>56</xdr:row>
      <xdr:rowOff>394938</xdr:rowOff>
    </xdr:to>
    <xdr:pic>
      <xdr:nvPicPr>
        <xdr:cNvPr id="91" name="Grafik 23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7035" y="15500733"/>
          <a:ext cx="544207" cy="36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63</xdr:row>
      <xdr:rowOff>50140</xdr:rowOff>
    </xdr:from>
    <xdr:to>
      <xdr:col>2</xdr:col>
      <xdr:colOff>597556</xdr:colOff>
      <xdr:row>63</xdr:row>
      <xdr:rowOff>351568</xdr:rowOff>
    </xdr:to>
    <xdr:pic>
      <xdr:nvPicPr>
        <xdr:cNvPr id="92" name="Grafik 24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7191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65</xdr:row>
      <xdr:rowOff>52478</xdr:rowOff>
    </xdr:from>
    <xdr:to>
      <xdr:col>2</xdr:col>
      <xdr:colOff>588516</xdr:colOff>
      <xdr:row>65</xdr:row>
      <xdr:rowOff>347214</xdr:rowOff>
    </xdr:to>
    <xdr:pic>
      <xdr:nvPicPr>
        <xdr:cNvPr id="94" name="Grafik 25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5215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62</xdr:row>
      <xdr:rowOff>50140</xdr:rowOff>
    </xdr:from>
    <xdr:to>
      <xdr:col>2</xdr:col>
      <xdr:colOff>597556</xdr:colOff>
      <xdr:row>62</xdr:row>
      <xdr:rowOff>351568</xdr:rowOff>
    </xdr:to>
    <xdr:pic>
      <xdr:nvPicPr>
        <xdr:cNvPr id="98" name="Grafik 24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83190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64</xdr:row>
      <xdr:rowOff>52478</xdr:rowOff>
    </xdr:from>
    <xdr:to>
      <xdr:col>2</xdr:col>
      <xdr:colOff>588516</xdr:colOff>
      <xdr:row>64</xdr:row>
      <xdr:rowOff>347214</xdr:rowOff>
    </xdr:to>
    <xdr:pic>
      <xdr:nvPicPr>
        <xdr:cNvPr id="99" name="Grafik 25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91215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94</xdr:row>
      <xdr:rowOff>63027</xdr:rowOff>
    </xdr:from>
    <xdr:to>
      <xdr:col>2</xdr:col>
      <xdr:colOff>607876</xdr:colOff>
      <xdr:row>94</xdr:row>
      <xdr:rowOff>337922</xdr:rowOff>
    </xdr:to>
    <xdr:pic>
      <xdr:nvPicPr>
        <xdr:cNvPr id="100" name="Grafik 68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0933" y="32333727"/>
          <a:ext cx="412343" cy="27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230020</xdr:colOff>
      <xdr:row>93</xdr:row>
      <xdr:rowOff>86183</xdr:rowOff>
    </xdr:from>
    <xdr:to>
      <xdr:col>2</xdr:col>
      <xdr:colOff>637189</xdr:colOff>
      <xdr:row>93</xdr:row>
      <xdr:rowOff>357629</xdr:rowOff>
    </xdr:to>
    <xdr:pic>
      <xdr:nvPicPr>
        <xdr:cNvPr id="101" name="Grafik 68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5420" y="31956833"/>
          <a:ext cx="407169" cy="27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159406</xdr:colOff>
      <xdr:row>69</xdr:row>
      <xdr:rowOff>34380</xdr:rowOff>
    </xdr:from>
    <xdr:to>
      <xdr:col>2</xdr:col>
      <xdr:colOff>621565</xdr:colOff>
      <xdr:row>69</xdr:row>
      <xdr:rowOff>380999</xdr:rowOff>
    </xdr:to>
    <xdr:pic>
      <xdr:nvPicPr>
        <xdr:cNvPr id="102" name="Grafik 18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806" y="20703630"/>
          <a:ext cx="462159" cy="346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90</xdr:row>
      <xdr:rowOff>71438</xdr:rowOff>
    </xdr:from>
    <xdr:to>
      <xdr:col>2</xdr:col>
      <xdr:colOff>565715</xdr:colOff>
      <xdr:row>90</xdr:row>
      <xdr:rowOff>330653</xdr:rowOff>
    </xdr:to>
    <xdr:pic>
      <xdr:nvPicPr>
        <xdr:cNvPr id="103" name="Grafik 54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2293" y="30741938"/>
          <a:ext cx="388822" cy="25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0216" name="Group Box 40" hidden="1">
              <a:extLst>
                <a:ext uri="{63B3BB69-23CF-44E3-9099-C40C66FF867C}">
                  <a14:compatExt spid="_x0000_s50216"/>
                </a:ext>
                <a:ext uri="{FF2B5EF4-FFF2-40B4-BE49-F238E27FC236}">
                  <a16:creationId xmlns:a16="http://schemas.microsoft.com/office/drawing/2014/main" id="{00000000-0008-0000-0700-00002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0217" name="Option Button 41" hidden="1">
              <a:extLst>
                <a:ext uri="{63B3BB69-23CF-44E3-9099-C40C66FF867C}">
                  <a14:compatExt spid="_x0000_s50217"/>
                </a:ext>
                <a:ext uri="{FF2B5EF4-FFF2-40B4-BE49-F238E27FC236}">
                  <a16:creationId xmlns:a16="http://schemas.microsoft.com/office/drawing/2014/main" id="{00000000-0008-0000-0700-00002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0218" name="Option Button 42" hidden="1">
              <a:extLst>
                <a:ext uri="{63B3BB69-23CF-44E3-9099-C40C66FF867C}">
                  <a14:compatExt spid="_x0000_s50218"/>
                </a:ext>
                <a:ext uri="{FF2B5EF4-FFF2-40B4-BE49-F238E27FC236}">
                  <a16:creationId xmlns:a16="http://schemas.microsoft.com/office/drawing/2014/main" id="{00000000-0008-0000-0700-00002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104" name="Grafik 4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742950</xdr:colOff>
      <xdr:row>1</xdr:row>
      <xdr:rowOff>9525</xdr:rowOff>
    </xdr:from>
    <xdr:to>
      <xdr:col>7</xdr:col>
      <xdr:colOff>687066</xdr:colOff>
      <xdr:row>5</xdr:row>
      <xdr:rowOff>47625</xdr:rowOff>
    </xdr:to>
    <xdr:pic>
      <xdr:nvPicPr>
        <xdr:cNvPr id="105" name="Grafik 99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4" b="19524"/>
        <a:stretch/>
      </xdr:blipFill>
      <xdr:spPr bwMode="auto">
        <a:xfrm>
          <a:off x="3533775" y="361950"/>
          <a:ext cx="2220591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274757</xdr:colOff>
      <xdr:row>92</xdr:row>
      <xdr:rowOff>18316</xdr:rowOff>
    </xdr:from>
    <xdr:to>
      <xdr:col>2</xdr:col>
      <xdr:colOff>532488</xdr:colOff>
      <xdr:row>92</xdr:row>
      <xdr:rowOff>373673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65407" y="31955641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324580</xdr:colOff>
      <xdr:row>91</xdr:row>
      <xdr:rowOff>19366</xdr:rowOff>
    </xdr:from>
    <xdr:to>
      <xdr:col>2</xdr:col>
      <xdr:colOff>471118</xdr:colOff>
      <xdr:row>91</xdr:row>
      <xdr:rowOff>391991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19980" y="30851791"/>
          <a:ext cx="146538" cy="372625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49</xdr:row>
      <xdr:rowOff>30078</xdr:rowOff>
    </xdr:from>
    <xdr:to>
      <xdr:col>2</xdr:col>
      <xdr:colOff>643566</xdr:colOff>
      <xdr:row>49</xdr:row>
      <xdr:rowOff>390196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4965278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191503</xdr:colOff>
      <xdr:row>50</xdr:row>
      <xdr:rowOff>32083</xdr:rowOff>
    </xdr:from>
    <xdr:to>
      <xdr:col>2</xdr:col>
      <xdr:colOff>643566</xdr:colOff>
      <xdr:row>50</xdr:row>
      <xdr:rowOff>392201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2153" y="15372096"/>
          <a:ext cx="452063" cy="36011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51</xdr:row>
      <xdr:rowOff>17545</xdr:rowOff>
    </xdr:from>
    <xdr:to>
      <xdr:col>2</xdr:col>
      <xdr:colOff>636671</xdr:colOff>
      <xdr:row>51</xdr:row>
      <xdr:rowOff>393834</xdr:rowOff>
    </xdr:to>
    <xdr:pic>
      <xdr:nvPicPr>
        <xdr:cNvPr id="110" name="Grafik 20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1" t="9715" r="13355" b="9325"/>
        <a:stretch/>
      </xdr:blipFill>
      <xdr:spPr bwMode="auto">
        <a:xfrm>
          <a:off x="1581150" y="15762370"/>
          <a:ext cx="446171" cy="3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87</xdr:row>
      <xdr:rowOff>33340</xdr:rowOff>
    </xdr:from>
    <xdr:to>
      <xdr:col>2</xdr:col>
      <xdr:colOff>686247</xdr:colOff>
      <xdr:row>87</xdr:row>
      <xdr:rowOff>370378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28575</xdr:rowOff>
    </xdr:from>
    <xdr:to>
      <xdr:col>4</xdr:col>
      <xdr:colOff>497233</xdr:colOff>
      <xdr:row>3</xdr:row>
      <xdr:rowOff>161923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1150" y="381000"/>
          <a:ext cx="1706908" cy="676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8</xdr:row>
          <xdr:rowOff>0</xdr:rowOff>
        </xdr:from>
        <xdr:to>
          <xdr:col>12</xdr:col>
          <xdr:colOff>373380</xdr:colOff>
          <xdr:row>9</xdr:row>
          <xdr:rowOff>0</xdr:rowOff>
        </xdr:to>
        <xdr:sp macro="" textlink="">
          <xdr:nvSpPr>
            <xdr:cNvPr id="57345" name="Group Box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8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14</xdr:row>
          <xdr:rowOff>0</xdr:rowOff>
        </xdr:from>
        <xdr:to>
          <xdr:col>12</xdr:col>
          <xdr:colOff>373380</xdr:colOff>
          <xdr:row>22</xdr:row>
          <xdr:rowOff>0</xdr:rowOff>
        </xdr:to>
        <xdr:sp macro="" textlink="">
          <xdr:nvSpPr>
            <xdr:cNvPr id="57347" name="Group Box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8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12</xdr:row>
          <xdr:rowOff>0</xdr:rowOff>
        </xdr:from>
        <xdr:to>
          <xdr:col>12</xdr:col>
          <xdr:colOff>373380</xdr:colOff>
          <xdr:row>13</xdr:row>
          <xdr:rowOff>0</xdr:rowOff>
        </xdr:to>
        <xdr:sp macro="" textlink="">
          <xdr:nvSpPr>
            <xdr:cNvPr id="57353" name="Group Box 9" hidden="1">
              <a:extLst>
                <a:ext uri="{63B3BB69-23CF-44E3-9099-C40C66FF867C}">
                  <a14:compatExt spid="_x0000_s57353"/>
                </a:ext>
                <a:ext uri="{FF2B5EF4-FFF2-40B4-BE49-F238E27FC236}">
                  <a16:creationId xmlns:a16="http://schemas.microsoft.com/office/drawing/2014/main" id="{00000000-0008-0000-0800-00000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8</xdr:row>
          <xdr:rowOff>7620</xdr:rowOff>
        </xdr:from>
        <xdr:to>
          <xdr:col>9</xdr:col>
          <xdr:colOff>449580</xdr:colOff>
          <xdr:row>8</xdr:row>
          <xdr:rowOff>182880</xdr:rowOff>
        </xdr:to>
        <xdr:sp macro="" textlink="">
          <xdr:nvSpPr>
            <xdr:cNvPr id="57358" name="Option Button 14" hidden="1">
              <a:extLst>
                <a:ext uri="{63B3BB69-23CF-44E3-9099-C40C66FF867C}">
                  <a14:compatExt spid="_x0000_s57358"/>
                </a:ext>
                <a:ext uri="{FF2B5EF4-FFF2-40B4-BE49-F238E27FC236}">
                  <a16:creationId xmlns:a16="http://schemas.microsoft.com/office/drawing/2014/main" id="{00000000-0008-0000-0800-00000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8</xdr:row>
          <xdr:rowOff>30480</xdr:rowOff>
        </xdr:from>
        <xdr:to>
          <xdr:col>11</xdr:col>
          <xdr:colOff>335280</xdr:colOff>
          <xdr:row>8</xdr:row>
          <xdr:rowOff>182880</xdr:rowOff>
        </xdr:to>
        <xdr:sp macro="" textlink="">
          <xdr:nvSpPr>
            <xdr:cNvPr id="57359" name="Option Button 15" hidden="1">
              <a:extLst>
                <a:ext uri="{63B3BB69-23CF-44E3-9099-C40C66FF867C}">
                  <a14:compatExt spid="_x0000_s57359"/>
                </a:ext>
                <a:ext uri="{FF2B5EF4-FFF2-40B4-BE49-F238E27FC236}">
                  <a16:creationId xmlns:a16="http://schemas.microsoft.com/office/drawing/2014/main" id="{00000000-0008-0000-0800-00000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15</xdr:row>
          <xdr:rowOff>30480</xdr:rowOff>
        </xdr:from>
        <xdr:to>
          <xdr:col>7</xdr:col>
          <xdr:colOff>182880</xdr:colOff>
          <xdr:row>16</xdr:row>
          <xdr:rowOff>0</xdr:rowOff>
        </xdr:to>
        <xdr:sp macro="" textlink="">
          <xdr:nvSpPr>
            <xdr:cNvPr id="57361" name="Option Button 17" hidden="1">
              <a:extLst>
                <a:ext uri="{63B3BB69-23CF-44E3-9099-C40C66FF867C}">
                  <a14:compatExt spid="_x0000_s57361"/>
                </a:ext>
                <a:ext uri="{FF2B5EF4-FFF2-40B4-BE49-F238E27FC236}">
                  <a16:creationId xmlns:a16="http://schemas.microsoft.com/office/drawing/2014/main" id="{00000000-0008-0000-0800-00001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16</xdr:row>
          <xdr:rowOff>30480</xdr:rowOff>
        </xdr:from>
        <xdr:to>
          <xdr:col>7</xdr:col>
          <xdr:colOff>182880</xdr:colOff>
          <xdr:row>17</xdr:row>
          <xdr:rowOff>0</xdr:rowOff>
        </xdr:to>
        <xdr:sp macro="" textlink="">
          <xdr:nvSpPr>
            <xdr:cNvPr id="57362" name="Option Button 18" hidden="1">
              <a:extLst>
                <a:ext uri="{63B3BB69-23CF-44E3-9099-C40C66FF867C}">
                  <a14:compatExt spid="_x0000_s57362"/>
                </a:ext>
                <a:ext uri="{FF2B5EF4-FFF2-40B4-BE49-F238E27FC236}">
                  <a16:creationId xmlns:a16="http://schemas.microsoft.com/office/drawing/2014/main" id="{00000000-0008-0000-0800-00001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17</xdr:row>
          <xdr:rowOff>30480</xdr:rowOff>
        </xdr:from>
        <xdr:to>
          <xdr:col>7</xdr:col>
          <xdr:colOff>182880</xdr:colOff>
          <xdr:row>18</xdr:row>
          <xdr:rowOff>0</xdr:rowOff>
        </xdr:to>
        <xdr:sp macro="" textlink="">
          <xdr:nvSpPr>
            <xdr:cNvPr id="57363" name="Option Button 19" hidden="1">
              <a:extLst>
                <a:ext uri="{63B3BB69-23CF-44E3-9099-C40C66FF867C}">
                  <a14:compatExt spid="_x0000_s57363"/>
                </a:ext>
                <a:ext uri="{FF2B5EF4-FFF2-40B4-BE49-F238E27FC236}">
                  <a16:creationId xmlns:a16="http://schemas.microsoft.com/office/drawing/2014/main" id="{00000000-0008-0000-0800-00001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18</xdr:row>
          <xdr:rowOff>30480</xdr:rowOff>
        </xdr:from>
        <xdr:to>
          <xdr:col>7</xdr:col>
          <xdr:colOff>182880</xdr:colOff>
          <xdr:row>19</xdr:row>
          <xdr:rowOff>0</xdr:rowOff>
        </xdr:to>
        <xdr:sp macro="" textlink="">
          <xdr:nvSpPr>
            <xdr:cNvPr id="57364" name="Option Button 20" hidden="1">
              <a:extLst>
                <a:ext uri="{63B3BB69-23CF-44E3-9099-C40C66FF867C}">
                  <a14:compatExt spid="_x0000_s57364"/>
                </a:ext>
                <a:ext uri="{FF2B5EF4-FFF2-40B4-BE49-F238E27FC236}">
                  <a16:creationId xmlns:a16="http://schemas.microsoft.com/office/drawing/2014/main" id="{00000000-0008-0000-0800-00001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19</xdr:row>
          <xdr:rowOff>30480</xdr:rowOff>
        </xdr:from>
        <xdr:to>
          <xdr:col>7</xdr:col>
          <xdr:colOff>182880</xdr:colOff>
          <xdr:row>20</xdr:row>
          <xdr:rowOff>0</xdr:rowOff>
        </xdr:to>
        <xdr:sp macro="" textlink="">
          <xdr:nvSpPr>
            <xdr:cNvPr id="57365" name="Option Button 21" hidden="1">
              <a:extLst>
                <a:ext uri="{63B3BB69-23CF-44E3-9099-C40C66FF867C}">
                  <a14:compatExt spid="_x0000_s57365"/>
                </a:ext>
                <a:ext uri="{FF2B5EF4-FFF2-40B4-BE49-F238E27FC236}">
                  <a16:creationId xmlns:a16="http://schemas.microsoft.com/office/drawing/2014/main" id="{00000000-0008-0000-0800-00001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20</xdr:row>
          <xdr:rowOff>30480</xdr:rowOff>
        </xdr:from>
        <xdr:to>
          <xdr:col>7</xdr:col>
          <xdr:colOff>182880</xdr:colOff>
          <xdr:row>21</xdr:row>
          <xdr:rowOff>0</xdr:rowOff>
        </xdr:to>
        <xdr:sp macro="" textlink="">
          <xdr:nvSpPr>
            <xdr:cNvPr id="57366" name="Option Button 22" hidden="1">
              <a:extLst>
                <a:ext uri="{63B3BB69-23CF-44E3-9099-C40C66FF867C}">
                  <a14:compatExt spid="_x0000_s57366"/>
                </a:ext>
                <a:ext uri="{FF2B5EF4-FFF2-40B4-BE49-F238E27FC236}">
                  <a16:creationId xmlns:a16="http://schemas.microsoft.com/office/drawing/2014/main" id="{00000000-0008-0000-0800-00001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21</xdr:row>
          <xdr:rowOff>30480</xdr:rowOff>
        </xdr:from>
        <xdr:to>
          <xdr:col>7</xdr:col>
          <xdr:colOff>182880</xdr:colOff>
          <xdr:row>22</xdr:row>
          <xdr:rowOff>0</xdr:rowOff>
        </xdr:to>
        <xdr:sp macro="" textlink="">
          <xdr:nvSpPr>
            <xdr:cNvPr id="57367" name="Option Button 23" hidden="1">
              <a:extLst>
                <a:ext uri="{63B3BB69-23CF-44E3-9099-C40C66FF867C}">
                  <a14:compatExt spid="_x0000_s57367"/>
                </a:ext>
                <a:ext uri="{FF2B5EF4-FFF2-40B4-BE49-F238E27FC236}">
                  <a16:creationId xmlns:a16="http://schemas.microsoft.com/office/drawing/2014/main" id="{00000000-0008-0000-0800-00001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15</xdr:row>
          <xdr:rowOff>30480</xdr:rowOff>
        </xdr:from>
        <xdr:to>
          <xdr:col>8</xdr:col>
          <xdr:colOff>807720</xdr:colOff>
          <xdr:row>16</xdr:row>
          <xdr:rowOff>0</xdr:rowOff>
        </xdr:to>
        <xdr:sp macro="" textlink="">
          <xdr:nvSpPr>
            <xdr:cNvPr id="57368" name="Option Button 24" hidden="1">
              <a:extLst>
                <a:ext uri="{63B3BB69-23CF-44E3-9099-C40C66FF867C}">
                  <a14:compatExt spid="_x0000_s57368"/>
                </a:ext>
                <a:ext uri="{FF2B5EF4-FFF2-40B4-BE49-F238E27FC236}">
                  <a16:creationId xmlns:a16="http://schemas.microsoft.com/office/drawing/2014/main" id="{00000000-0008-0000-0800-00001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16</xdr:row>
          <xdr:rowOff>30480</xdr:rowOff>
        </xdr:from>
        <xdr:to>
          <xdr:col>8</xdr:col>
          <xdr:colOff>807720</xdr:colOff>
          <xdr:row>17</xdr:row>
          <xdr:rowOff>0</xdr:rowOff>
        </xdr:to>
        <xdr:sp macro="" textlink="">
          <xdr:nvSpPr>
            <xdr:cNvPr id="57369" name="Option Button 25" hidden="1">
              <a:extLst>
                <a:ext uri="{63B3BB69-23CF-44E3-9099-C40C66FF867C}">
                  <a14:compatExt spid="_x0000_s57369"/>
                </a:ext>
                <a:ext uri="{FF2B5EF4-FFF2-40B4-BE49-F238E27FC236}">
                  <a16:creationId xmlns:a16="http://schemas.microsoft.com/office/drawing/2014/main" id="{00000000-0008-0000-0800-00001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17</xdr:row>
          <xdr:rowOff>30480</xdr:rowOff>
        </xdr:from>
        <xdr:to>
          <xdr:col>8</xdr:col>
          <xdr:colOff>807720</xdr:colOff>
          <xdr:row>18</xdr:row>
          <xdr:rowOff>0</xdr:rowOff>
        </xdr:to>
        <xdr:sp macro="" textlink="">
          <xdr:nvSpPr>
            <xdr:cNvPr id="57370" name="Option Button 26" hidden="1">
              <a:extLst>
                <a:ext uri="{63B3BB69-23CF-44E3-9099-C40C66FF867C}">
                  <a14:compatExt spid="_x0000_s57370"/>
                </a:ext>
                <a:ext uri="{FF2B5EF4-FFF2-40B4-BE49-F238E27FC236}">
                  <a16:creationId xmlns:a16="http://schemas.microsoft.com/office/drawing/2014/main" id="{00000000-0008-0000-0800-00001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18</xdr:row>
          <xdr:rowOff>30480</xdr:rowOff>
        </xdr:from>
        <xdr:to>
          <xdr:col>8</xdr:col>
          <xdr:colOff>807720</xdr:colOff>
          <xdr:row>19</xdr:row>
          <xdr:rowOff>0</xdr:rowOff>
        </xdr:to>
        <xdr:sp macro="" textlink="">
          <xdr:nvSpPr>
            <xdr:cNvPr id="57371" name="Option Button 27" hidden="1">
              <a:extLst>
                <a:ext uri="{63B3BB69-23CF-44E3-9099-C40C66FF867C}">
                  <a14:compatExt spid="_x0000_s57371"/>
                </a:ext>
                <a:ext uri="{FF2B5EF4-FFF2-40B4-BE49-F238E27FC236}">
                  <a16:creationId xmlns:a16="http://schemas.microsoft.com/office/drawing/2014/main" id="{00000000-0008-0000-0800-00001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19</xdr:row>
          <xdr:rowOff>30480</xdr:rowOff>
        </xdr:from>
        <xdr:to>
          <xdr:col>8</xdr:col>
          <xdr:colOff>807720</xdr:colOff>
          <xdr:row>20</xdr:row>
          <xdr:rowOff>0</xdr:rowOff>
        </xdr:to>
        <xdr:sp macro="" textlink="">
          <xdr:nvSpPr>
            <xdr:cNvPr id="57372" name="Option Button 28" hidden="1">
              <a:extLst>
                <a:ext uri="{63B3BB69-23CF-44E3-9099-C40C66FF867C}">
                  <a14:compatExt spid="_x0000_s57372"/>
                </a:ext>
                <a:ext uri="{FF2B5EF4-FFF2-40B4-BE49-F238E27FC236}">
                  <a16:creationId xmlns:a16="http://schemas.microsoft.com/office/drawing/2014/main" id="{00000000-0008-0000-0800-00001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20</xdr:row>
          <xdr:rowOff>30480</xdr:rowOff>
        </xdr:from>
        <xdr:to>
          <xdr:col>8</xdr:col>
          <xdr:colOff>807720</xdr:colOff>
          <xdr:row>21</xdr:row>
          <xdr:rowOff>0</xdr:rowOff>
        </xdr:to>
        <xdr:sp macro="" textlink="">
          <xdr:nvSpPr>
            <xdr:cNvPr id="57373" name="Option Button 29" hidden="1">
              <a:extLst>
                <a:ext uri="{63B3BB69-23CF-44E3-9099-C40C66FF867C}">
                  <a14:compatExt spid="_x0000_s57373"/>
                </a:ext>
                <a:ext uri="{FF2B5EF4-FFF2-40B4-BE49-F238E27FC236}">
                  <a16:creationId xmlns:a16="http://schemas.microsoft.com/office/drawing/2014/main" id="{00000000-0008-0000-0800-00001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21</xdr:row>
          <xdr:rowOff>30480</xdr:rowOff>
        </xdr:from>
        <xdr:to>
          <xdr:col>8</xdr:col>
          <xdr:colOff>807720</xdr:colOff>
          <xdr:row>22</xdr:row>
          <xdr:rowOff>0</xdr:rowOff>
        </xdr:to>
        <xdr:sp macro="" textlink="">
          <xdr:nvSpPr>
            <xdr:cNvPr id="57374" name="Option Button 30" hidden="1">
              <a:extLst>
                <a:ext uri="{63B3BB69-23CF-44E3-9099-C40C66FF867C}">
                  <a14:compatExt spid="_x0000_s57374"/>
                </a:ext>
                <a:ext uri="{FF2B5EF4-FFF2-40B4-BE49-F238E27FC236}">
                  <a16:creationId xmlns:a16="http://schemas.microsoft.com/office/drawing/2014/main" id="{00000000-0008-0000-0800-00001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241081</xdr:colOff>
      <xdr:row>34</xdr:row>
      <xdr:rowOff>51238</xdr:rowOff>
    </xdr:from>
    <xdr:to>
      <xdr:col>2</xdr:col>
      <xdr:colOff>549823</xdr:colOff>
      <xdr:row>34</xdr:row>
      <xdr:rowOff>352064</xdr:rowOff>
    </xdr:to>
    <xdr:pic>
      <xdr:nvPicPr>
        <xdr:cNvPr id="38" name="Grafik 42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14355" r="29546" b="11592"/>
        <a:stretch>
          <a:fillRect/>
        </a:stretch>
      </xdr:blipFill>
      <xdr:spPr bwMode="auto">
        <a:xfrm>
          <a:off x="1536481" y="6318688"/>
          <a:ext cx="308742" cy="30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32</xdr:row>
      <xdr:rowOff>52476</xdr:rowOff>
    </xdr:from>
    <xdr:to>
      <xdr:col>2</xdr:col>
      <xdr:colOff>589108</xdr:colOff>
      <xdr:row>32</xdr:row>
      <xdr:rowOff>351735</xdr:rowOff>
    </xdr:to>
    <xdr:pic>
      <xdr:nvPicPr>
        <xdr:cNvPr id="39" name="Grafik 42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51982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33</xdr:row>
      <xdr:rowOff>52476</xdr:rowOff>
    </xdr:from>
    <xdr:to>
      <xdr:col>2</xdr:col>
      <xdr:colOff>589108</xdr:colOff>
      <xdr:row>33</xdr:row>
      <xdr:rowOff>351735</xdr:rowOff>
    </xdr:to>
    <xdr:pic>
      <xdr:nvPicPr>
        <xdr:cNvPr id="40" name="Grafik 42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9198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31</xdr:row>
      <xdr:rowOff>52476</xdr:rowOff>
    </xdr:from>
    <xdr:to>
      <xdr:col>2</xdr:col>
      <xdr:colOff>589108</xdr:colOff>
      <xdr:row>31</xdr:row>
      <xdr:rowOff>351735</xdr:rowOff>
    </xdr:to>
    <xdr:pic>
      <xdr:nvPicPr>
        <xdr:cNvPr id="41" name="Grafik 42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1197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179357</xdr:colOff>
      <xdr:row>35</xdr:row>
      <xdr:rowOff>48883</xdr:rowOff>
    </xdr:from>
    <xdr:to>
      <xdr:col>2</xdr:col>
      <xdr:colOff>603689</xdr:colOff>
      <xdr:row>35</xdr:row>
      <xdr:rowOff>354402</xdr:rowOff>
    </xdr:to>
    <xdr:pic>
      <xdr:nvPicPr>
        <xdr:cNvPr id="43" name="Grafik 41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26" t="11086" r="18655" b="15855"/>
        <a:stretch>
          <a:fillRect/>
        </a:stretch>
      </xdr:blipFill>
      <xdr:spPr bwMode="auto">
        <a:xfrm>
          <a:off x="1474757" y="6716383"/>
          <a:ext cx="424332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172168</xdr:colOff>
      <xdr:row>36</xdr:row>
      <xdr:rowOff>48884</xdr:rowOff>
    </xdr:from>
    <xdr:to>
      <xdr:col>2</xdr:col>
      <xdr:colOff>587312</xdr:colOff>
      <xdr:row>36</xdr:row>
      <xdr:rowOff>350807</xdr:rowOff>
    </xdr:to>
    <xdr:pic>
      <xdr:nvPicPr>
        <xdr:cNvPr id="44" name="Grafik 66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9" t="14209" r="11478" b="11075"/>
        <a:stretch>
          <a:fillRect/>
        </a:stretch>
      </xdr:blipFill>
      <xdr:spPr bwMode="auto">
        <a:xfrm>
          <a:off x="1467568" y="7116434"/>
          <a:ext cx="415144" cy="30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269216</xdr:colOff>
      <xdr:row>37</xdr:row>
      <xdr:rowOff>48883</xdr:rowOff>
    </xdr:from>
    <xdr:to>
      <xdr:col>2</xdr:col>
      <xdr:colOff>478255</xdr:colOff>
      <xdr:row>37</xdr:row>
      <xdr:rowOff>354402</xdr:rowOff>
    </xdr:to>
    <xdr:pic>
      <xdr:nvPicPr>
        <xdr:cNvPr id="45" name="Grafik 40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5" t="5116" r="31250" b="11734"/>
        <a:stretch>
          <a:fillRect/>
        </a:stretch>
      </xdr:blipFill>
      <xdr:spPr bwMode="auto">
        <a:xfrm>
          <a:off x="1564616" y="7516483"/>
          <a:ext cx="209039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240461</xdr:colOff>
      <xdr:row>38</xdr:row>
      <xdr:rowOff>48883</xdr:rowOff>
    </xdr:from>
    <xdr:to>
      <xdr:col>2</xdr:col>
      <xdr:colOff>533305</xdr:colOff>
      <xdr:row>38</xdr:row>
      <xdr:rowOff>357996</xdr:rowOff>
    </xdr:to>
    <xdr:pic>
      <xdr:nvPicPr>
        <xdr:cNvPr id="46" name="Grafik 39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3" t="6113" r="21400" b="4770"/>
        <a:stretch>
          <a:fillRect/>
        </a:stretch>
      </xdr:blipFill>
      <xdr:spPr bwMode="auto">
        <a:xfrm>
          <a:off x="1535861" y="7916533"/>
          <a:ext cx="292844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125442</xdr:colOff>
      <xdr:row>39</xdr:row>
      <xdr:rowOff>45289</xdr:rowOff>
    </xdr:from>
    <xdr:to>
      <xdr:col>2</xdr:col>
      <xdr:colOff>639792</xdr:colOff>
      <xdr:row>39</xdr:row>
      <xdr:rowOff>350089</xdr:rowOff>
    </xdr:to>
    <xdr:pic>
      <xdr:nvPicPr>
        <xdr:cNvPr id="47" name="Grafik 2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5" t="31874" r="14166" b="39500"/>
        <a:stretch>
          <a:fillRect/>
        </a:stretch>
      </xdr:blipFill>
      <xdr:spPr bwMode="auto">
        <a:xfrm>
          <a:off x="1420842" y="8312989"/>
          <a:ext cx="514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156733</xdr:colOff>
      <xdr:row>40</xdr:row>
      <xdr:rowOff>46758</xdr:rowOff>
    </xdr:from>
    <xdr:to>
      <xdr:col>2</xdr:col>
      <xdr:colOff>609290</xdr:colOff>
      <xdr:row>40</xdr:row>
      <xdr:rowOff>354155</xdr:rowOff>
    </xdr:to>
    <xdr:pic>
      <xdr:nvPicPr>
        <xdr:cNvPr id="48" name="Grafik 43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4" t="20183" r="20644" b="7898"/>
        <a:stretch>
          <a:fillRect/>
        </a:stretch>
      </xdr:blipFill>
      <xdr:spPr bwMode="auto">
        <a:xfrm>
          <a:off x="1452133" y="8714508"/>
          <a:ext cx="452557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247648</xdr:colOff>
      <xdr:row>41</xdr:row>
      <xdr:rowOff>51087</xdr:rowOff>
    </xdr:from>
    <xdr:to>
      <xdr:col>2</xdr:col>
      <xdr:colOff>550717</xdr:colOff>
      <xdr:row>41</xdr:row>
      <xdr:rowOff>354156</xdr:rowOff>
    </xdr:to>
    <xdr:pic>
      <xdr:nvPicPr>
        <xdr:cNvPr id="49" name="Grafik 44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5" r="4926" b="1785"/>
        <a:stretch>
          <a:fillRect/>
        </a:stretch>
      </xdr:blipFill>
      <xdr:spPr bwMode="auto">
        <a:xfrm>
          <a:off x="1543048" y="9118887"/>
          <a:ext cx="303069" cy="30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42</xdr:row>
      <xdr:rowOff>94385</xdr:rowOff>
    </xdr:from>
    <xdr:to>
      <xdr:col>2</xdr:col>
      <xdr:colOff>676275</xdr:colOff>
      <xdr:row>42</xdr:row>
      <xdr:rowOff>313460</xdr:rowOff>
    </xdr:to>
    <xdr:pic>
      <xdr:nvPicPr>
        <xdr:cNvPr id="50" name="Grafik 3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0175" y="9562235"/>
          <a:ext cx="571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126423</xdr:colOff>
      <xdr:row>43</xdr:row>
      <xdr:rowOff>55418</xdr:rowOff>
    </xdr:from>
    <xdr:to>
      <xdr:col>2</xdr:col>
      <xdr:colOff>654627</xdr:colOff>
      <xdr:row>43</xdr:row>
      <xdr:rowOff>352533</xdr:rowOff>
    </xdr:to>
    <xdr:pic>
      <xdr:nvPicPr>
        <xdr:cNvPr id="51" name="Grafik 3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823" y="9923318"/>
          <a:ext cx="528204" cy="297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130753</xdr:colOff>
      <xdr:row>46</xdr:row>
      <xdr:rowOff>51089</xdr:rowOff>
    </xdr:from>
    <xdr:to>
      <xdr:col>2</xdr:col>
      <xdr:colOff>627448</xdr:colOff>
      <xdr:row>46</xdr:row>
      <xdr:rowOff>354157</xdr:rowOff>
    </xdr:to>
    <xdr:pic>
      <xdr:nvPicPr>
        <xdr:cNvPr id="53" name="Grafik 19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204355</xdr:colOff>
      <xdr:row>51</xdr:row>
      <xdr:rowOff>51088</xdr:rowOff>
    </xdr:from>
    <xdr:to>
      <xdr:col>2</xdr:col>
      <xdr:colOff>573848</xdr:colOff>
      <xdr:row>51</xdr:row>
      <xdr:rowOff>349827</xdr:rowOff>
    </xdr:to>
    <xdr:pic>
      <xdr:nvPicPr>
        <xdr:cNvPr id="55" name="Grafik 3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33543" r="28694" b="15146"/>
        <a:stretch>
          <a:fillRect/>
        </a:stretch>
      </xdr:blipFill>
      <xdr:spPr bwMode="auto">
        <a:xfrm>
          <a:off x="1499755" y="11919238"/>
          <a:ext cx="369493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148071</xdr:colOff>
      <xdr:row>52</xdr:row>
      <xdr:rowOff>55418</xdr:rowOff>
    </xdr:from>
    <xdr:to>
      <xdr:col>2</xdr:col>
      <xdr:colOff>583376</xdr:colOff>
      <xdr:row>52</xdr:row>
      <xdr:rowOff>354157</xdr:rowOff>
    </xdr:to>
    <xdr:pic>
      <xdr:nvPicPr>
        <xdr:cNvPr id="56" name="Grafik 32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8" t="34966" r="29924" b="17989"/>
        <a:stretch>
          <a:fillRect/>
        </a:stretch>
      </xdr:blipFill>
      <xdr:spPr bwMode="auto">
        <a:xfrm>
          <a:off x="1443471" y="12323618"/>
          <a:ext cx="435305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230335</xdr:colOff>
      <xdr:row>53</xdr:row>
      <xdr:rowOff>46759</xdr:rowOff>
    </xdr:from>
    <xdr:to>
      <xdr:col>2</xdr:col>
      <xdr:colOff>542062</xdr:colOff>
      <xdr:row>53</xdr:row>
      <xdr:rowOff>358486</xdr:rowOff>
    </xdr:to>
    <xdr:pic>
      <xdr:nvPicPr>
        <xdr:cNvPr id="57" name="Grafik 33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8955" r="21684" b="10030"/>
        <a:stretch>
          <a:fillRect/>
        </a:stretch>
      </xdr:blipFill>
      <xdr:spPr bwMode="auto">
        <a:xfrm>
          <a:off x="1525735" y="12715009"/>
          <a:ext cx="311727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122092</xdr:colOff>
      <xdr:row>56</xdr:row>
      <xdr:rowOff>46758</xdr:rowOff>
    </xdr:from>
    <xdr:to>
      <xdr:col>2</xdr:col>
      <xdr:colOff>637190</xdr:colOff>
      <xdr:row>56</xdr:row>
      <xdr:rowOff>354155</xdr:rowOff>
    </xdr:to>
    <xdr:pic>
      <xdr:nvPicPr>
        <xdr:cNvPr id="60" name="Grafik 26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3" t="13219" r="17329" b="17705"/>
        <a:stretch>
          <a:fillRect/>
        </a:stretch>
      </xdr:blipFill>
      <xdr:spPr bwMode="auto">
        <a:xfrm>
          <a:off x="1417492" y="13915158"/>
          <a:ext cx="515098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234661</xdr:colOff>
      <xdr:row>57</xdr:row>
      <xdr:rowOff>55418</xdr:rowOff>
    </xdr:from>
    <xdr:to>
      <xdr:col>2</xdr:col>
      <xdr:colOff>521113</xdr:colOff>
      <xdr:row>57</xdr:row>
      <xdr:rowOff>349827</xdr:rowOff>
    </xdr:to>
    <xdr:pic>
      <xdr:nvPicPr>
        <xdr:cNvPr id="61" name="Grafik 25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5" t="7106" r="16573" b="10455"/>
        <a:stretch>
          <a:fillRect/>
        </a:stretch>
      </xdr:blipFill>
      <xdr:spPr bwMode="auto">
        <a:xfrm>
          <a:off x="1530061" y="14323868"/>
          <a:ext cx="286452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59</xdr:row>
      <xdr:rowOff>72735</xdr:rowOff>
    </xdr:from>
    <xdr:to>
      <xdr:col>2</xdr:col>
      <xdr:colOff>628650</xdr:colOff>
      <xdr:row>59</xdr:row>
      <xdr:rowOff>332930</xdr:rowOff>
    </xdr:to>
    <xdr:pic>
      <xdr:nvPicPr>
        <xdr:cNvPr id="62" name="Grafik 24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14128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60</xdr:row>
      <xdr:rowOff>72735</xdr:rowOff>
    </xdr:from>
    <xdr:to>
      <xdr:col>2</xdr:col>
      <xdr:colOff>628650</xdr:colOff>
      <xdr:row>60</xdr:row>
      <xdr:rowOff>332930</xdr:rowOff>
    </xdr:to>
    <xdr:pic>
      <xdr:nvPicPr>
        <xdr:cNvPr id="63" name="Grafik 24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5413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58</xdr:row>
      <xdr:rowOff>72735</xdr:rowOff>
    </xdr:from>
    <xdr:to>
      <xdr:col>2</xdr:col>
      <xdr:colOff>628650</xdr:colOff>
      <xdr:row>58</xdr:row>
      <xdr:rowOff>332930</xdr:rowOff>
    </xdr:to>
    <xdr:pic>
      <xdr:nvPicPr>
        <xdr:cNvPr id="65" name="Grafik 2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47412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169406</xdr:colOff>
      <xdr:row>62</xdr:row>
      <xdr:rowOff>51090</xdr:rowOff>
    </xdr:from>
    <xdr:to>
      <xdr:col>2</xdr:col>
      <xdr:colOff>573496</xdr:colOff>
      <xdr:row>62</xdr:row>
      <xdr:rowOff>354158</xdr:rowOff>
    </xdr:to>
    <xdr:pic>
      <xdr:nvPicPr>
        <xdr:cNvPr id="66" name="Grafik 20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69288" y="17633119"/>
          <a:ext cx="404090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162534</xdr:colOff>
      <xdr:row>75</xdr:row>
      <xdr:rowOff>50259</xdr:rowOff>
    </xdr:from>
    <xdr:to>
      <xdr:col>2</xdr:col>
      <xdr:colOff>612440</xdr:colOff>
      <xdr:row>75</xdr:row>
      <xdr:rowOff>350196</xdr:rowOff>
    </xdr:to>
    <xdr:pic>
      <xdr:nvPicPr>
        <xdr:cNvPr id="73" name="Grafik 67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934" y="21519609"/>
          <a:ext cx="449906" cy="29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181388</xdr:colOff>
      <xdr:row>61</xdr:row>
      <xdr:rowOff>54665</xdr:rowOff>
    </xdr:from>
    <xdr:to>
      <xdr:col>2</xdr:col>
      <xdr:colOff>574369</xdr:colOff>
      <xdr:row>61</xdr:row>
      <xdr:rowOff>349401</xdr:rowOff>
    </xdr:to>
    <xdr:pic>
      <xdr:nvPicPr>
        <xdr:cNvPr id="75" name="Grafik 25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788" y="15923315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63</xdr:row>
      <xdr:rowOff>49530</xdr:rowOff>
    </xdr:from>
    <xdr:to>
      <xdr:col>2</xdr:col>
      <xdr:colOff>562118</xdr:colOff>
      <xdr:row>63</xdr:row>
      <xdr:rowOff>352892</xdr:rowOff>
    </xdr:to>
    <xdr:pic>
      <xdr:nvPicPr>
        <xdr:cNvPr id="76" name="Grafik 1812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67182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64</xdr:row>
      <xdr:rowOff>49530</xdr:rowOff>
    </xdr:from>
    <xdr:to>
      <xdr:col>2</xdr:col>
      <xdr:colOff>562118</xdr:colOff>
      <xdr:row>64</xdr:row>
      <xdr:rowOff>352892</xdr:rowOff>
    </xdr:to>
    <xdr:pic>
      <xdr:nvPicPr>
        <xdr:cNvPr id="77" name="Grafik 1812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1183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65</xdr:row>
      <xdr:rowOff>49530</xdr:rowOff>
    </xdr:from>
    <xdr:to>
      <xdr:col>2</xdr:col>
      <xdr:colOff>562118</xdr:colOff>
      <xdr:row>65</xdr:row>
      <xdr:rowOff>352892</xdr:rowOff>
    </xdr:to>
    <xdr:pic>
      <xdr:nvPicPr>
        <xdr:cNvPr id="78" name="Grafik 1812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5183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66</xdr:row>
      <xdr:rowOff>49530</xdr:rowOff>
    </xdr:from>
    <xdr:to>
      <xdr:col>2</xdr:col>
      <xdr:colOff>562118</xdr:colOff>
      <xdr:row>66</xdr:row>
      <xdr:rowOff>352892</xdr:rowOff>
    </xdr:to>
    <xdr:pic>
      <xdr:nvPicPr>
        <xdr:cNvPr id="79" name="Grafik 1812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9184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67</xdr:row>
      <xdr:rowOff>49530</xdr:rowOff>
    </xdr:from>
    <xdr:to>
      <xdr:col>2</xdr:col>
      <xdr:colOff>562118</xdr:colOff>
      <xdr:row>67</xdr:row>
      <xdr:rowOff>352892</xdr:rowOff>
    </xdr:to>
    <xdr:pic>
      <xdr:nvPicPr>
        <xdr:cNvPr id="80" name="Grafik 1812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83184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15</xdr:row>
          <xdr:rowOff>30480</xdr:rowOff>
        </xdr:from>
        <xdr:to>
          <xdr:col>11</xdr:col>
          <xdr:colOff>106680</xdr:colOff>
          <xdr:row>16</xdr:row>
          <xdr:rowOff>7620</xdr:rowOff>
        </xdr:to>
        <xdr:sp macro="" textlink="">
          <xdr:nvSpPr>
            <xdr:cNvPr id="57375" name="Option Button 31" hidden="1">
              <a:extLst>
                <a:ext uri="{63B3BB69-23CF-44E3-9099-C40C66FF867C}">
                  <a14:compatExt spid="_x0000_s57375"/>
                </a:ext>
                <a:ext uri="{FF2B5EF4-FFF2-40B4-BE49-F238E27FC236}">
                  <a16:creationId xmlns:a16="http://schemas.microsoft.com/office/drawing/2014/main" id="{00000000-0008-0000-0800-00001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16</xdr:row>
          <xdr:rowOff>7620</xdr:rowOff>
        </xdr:from>
        <xdr:to>
          <xdr:col>11</xdr:col>
          <xdr:colOff>106680</xdr:colOff>
          <xdr:row>17</xdr:row>
          <xdr:rowOff>0</xdr:rowOff>
        </xdr:to>
        <xdr:sp macro="" textlink="">
          <xdr:nvSpPr>
            <xdr:cNvPr id="57376" name="Option Button 32" hidden="1">
              <a:extLst>
                <a:ext uri="{63B3BB69-23CF-44E3-9099-C40C66FF867C}">
                  <a14:compatExt spid="_x0000_s57376"/>
                </a:ext>
                <a:ext uri="{FF2B5EF4-FFF2-40B4-BE49-F238E27FC236}">
                  <a16:creationId xmlns:a16="http://schemas.microsoft.com/office/drawing/2014/main" id="{00000000-0008-0000-0800-00002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17</xdr:row>
          <xdr:rowOff>7620</xdr:rowOff>
        </xdr:from>
        <xdr:to>
          <xdr:col>11</xdr:col>
          <xdr:colOff>106680</xdr:colOff>
          <xdr:row>18</xdr:row>
          <xdr:rowOff>0</xdr:rowOff>
        </xdr:to>
        <xdr:sp macro="" textlink="">
          <xdr:nvSpPr>
            <xdr:cNvPr id="57378" name="Option Button 34" hidden="1">
              <a:extLst>
                <a:ext uri="{63B3BB69-23CF-44E3-9099-C40C66FF867C}">
                  <a14:compatExt spid="_x0000_s57378"/>
                </a:ext>
                <a:ext uri="{FF2B5EF4-FFF2-40B4-BE49-F238E27FC236}">
                  <a16:creationId xmlns:a16="http://schemas.microsoft.com/office/drawing/2014/main" id="{00000000-0008-0000-0800-00002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678180</xdr:colOff>
          <xdr:row>12</xdr:row>
          <xdr:rowOff>30480</xdr:rowOff>
        </xdr:from>
        <xdr:to>
          <xdr:col>10</xdr:col>
          <xdr:colOff>335280</xdr:colOff>
          <xdr:row>12</xdr:row>
          <xdr:rowOff>182880</xdr:rowOff>
        </xdr:to>
        <xdr:sp macro="" textlink="">
          <xdr:nvSpPr>
            <xdr:cNvPr id="57379" name="Option Button 35" hidden="1">
              <a:extLst>
                <a:ext uri="{63B3BB69-23CF-44E3-9099-C40C66FF867C}">
                  <a14:compatExt spid="_x0000_s57379"/>
                </a:ext>
                <a:ext uri="{FF2B5EF4-FFF2-40B4-BE49-F238E27FC236}">
                  <a16:creationId xmlns:a16="http://schemas.microsoft.com/office/drawing/2014/main" id="{00000000-0008-0000-0800-00002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12</xdr:row>
          <xdr:rowOff>30480</xdr:rowOff>
        </xdr:from>
        <xdr:to>
          <xdr:col>11</xdr:col>
          <xdr:colOff>617220</xdr:colOff>
          <xdr:row>12</xdr:row>
          <xdr:rowOff>182880</xdr:rowOff>
        </xdr:to>
        <xdr:sp macro="" textlink="">
          <xdr:nvSpPr>
            <xdr:cNvPr id="57380" name="Option Button 36" hidden="1">
              <a:extLst>
                <a:ext uri="{63B3BB69-23CF-44E3-9099-C40C66FF867C}">
                  <a14:compatExt spid="_x0000_s57380"/>
                </a:ext>
                <a:ext uri="{FF2B5EF4-FFF2-40B4-BE49-F238E27FC236}">
                  <a16:creationId xmlns:a16="http://schemas.microsoft.com/office/drawing/2014/main" id="{00000000-0008-0000-0800-00002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18</xdr:row>
          <xdr:rowOff>7620</xdr:rowOff>
        </xdr:from>
        <xdr:to>
          <xdr:col>11</xdr:col>
          <xdr:colOff>106680</xdr:colOff>
          <xdr:row>19</xdr:row>
          <xdr:rowOff>0</xdr:rowOff>
        </xdr:to>
        <xdr:sp macro="" textlink="">
          <xdr:nvSpPr>
            <xdr:cNvPr id="57381" name="Option Button 37" hidden="1">
              <a:extLst>
                <a:ext uri="{63B3BB69-23CF-44E3-9099-C40C66FF867C}">
                  <a14:compatExt spid="_x0000_s57381"/>
                </a:ext>
                <a:ext uri="{FF2B5EF4-FFF2-40B4-BE49-F238E27FC236}">
                  <a16:creationId xmlns:a16="http://schemas.microsoft.com/office/drawing/2014/main" id="{00000000-0008-0000-0800-00002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19</xdr:row>
          <xdr:rowOff>7620</xdr:rowOff>
        </xdr:from>
        <xdr:to>
          <xdr:col>11</xdr:col>
          <xdr:colOff>106680</xdr:colOff>
          <xdr:row>20</xdr:row>
          <xdr:rowOff>0</xdr:rowOff>
        </xdr:to>
        <xdr:sp macro="" textlink="">
          <xdr:nvSpPr>
            <xdr:cNvPr id="57382" name="Option Button 38" hidden="1">
              <a:extLst>
                <a:ext uri="{63B3BB69-23CF-44E3-9099-C40C66FF867C}">
                  <a14:compatExt spid="_x0000_s57382"/>
                </a:ext>
                <a:ext uri="{FF2B5EF4-FFF2-40B4-BE49-F238E27FC236}">
                  <a16:creationId xmlns:a16="http://schemas.microsoft.com/office/drawing/2014/main" id="{00000000-0008-0000-0800-00002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130753</xdr:colOff>
      <xdr:row>47</xdr:row>
      <xdr:rowOff>51089</xdr:rowOff>
    </xdr:from>
    <xdr:to>
      <xdr:col>2</xdr:col>
      <xdr:colOff>627448</xdr:colOff>
      <xdr:row>47</xdr:row>
      <xdr:rowOff>354157</xdr:rowOff>
    </xdr:to>
    <xdr:pic>
      <xdr:nvPicPr>
        <xdr:cNvPr id="85" name="Grafik 19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48</xdr:row>
      <xdr:rowOff>29483</xdr:rowOff>
    </xdr:from>
    <xdr:to>
      <xdr:col>2</xdr:col>
      <xdr:colOff>624263</xdr:colOff>
      <xdr:row>48</xdr:row>
      <xdr:rowOff>390524</xdr:rowOff>
    </xdr:to>
    <xdr:pic>
      <xdr:nvPicPr>
        <xdr:cNvPr id="86" name="Grafik 3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8275" y="11897633"/>
          <a:ext cx="481388" cy="361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168606</xdr:colOff>
      <xdr:row>50</xdr:row>
      <xdr:rowOff>68036</xdr:rowOff>
    </xdr:from>
    <xdr:to>
      <xdr:col>2</xdr:col>
      <xdr:colOff>645818</xdr:colOff>
      <xdr:row>50</xdr:row>
      <xdr:rowOff>336468</xdr:rowOff>
    </xdr:to>
    <xdr:pic>
      <xdr:nvPicPr>
        <xdr:cNvPr id="87" name="Grafik 35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4892" y="12627429"/>
          <a:ext cx="477212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10</xdr:row>
          <xdr:rowOff>0</xdr:rowOff>
        </xdr:from>
        <xdr:to>
          <xdr:col>12</xdr:col>
          <xdr:colOff>350520</xdr:colOff>
          <xdr:row>11</xdr:row>
          <xdr:rowOff>0</xdr:rowOff>
        </xdr:to>
        <xdr:sp macro="" textlink="">
          <xdr:nvSpPr>
            <xdr:cNvPr id="57420" name="Group Box 76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:a16="http://schemas.microsoft.com/office/drawing/2014/main" id="{00000000-0008-0000-08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754380</xdr:colOff>
          <xdr:row>10</xdr:row>
          <xdr:rowOff>7620</xdr:rowOff>
        </xdr:from>
        <xdr:to>
          <xdr:col>9</xdr:col>
          <xdr:colOff>449580</xdr:colOff>
          <xdr:row>10</xdr:row>
          <xdr:rowOff>182880</xdr:rowOff>
        </xdr:to>
        <xdr:sp macro="" textlink="">
          <xdr:nvSpPr>
            <xdr:cNvPr id="57421" name="Option Button 77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:a16="http://schemas.microsoft.com/office/drawing/2014/main" id="{00000000-0008-0000-08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10</xdr:row>
          <xdr:rowOff>30480</xdr:rowOff>
        </xdr:from>
        <xdr:to>
          <xdr:col>11</xdr:col>
          <xdr:colOff>335280</xdr:colOff>
          <xdr:row>10</xdr:row>
          <xdr:rowOff>182880</xdr:rowOff>
        </xdr:to>
        <xdr:sp macro="" textlink="">
          <xdr:nvSpPr>
            <xdr:cNvPr id="57422" name="Option Button 78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:a16="http://schemas.microsoft.com/office/drawing/2014/main" id="{00000000-0008-0000-08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592059</xdr:colOff>
      <xdr:row>4</xdr:row>
      <xdr:rowOff>132618</xdr:rowOff>
    </xdr:to>
    <xdr:pic>
      <xdr:nvPicPr>
        <xdr:cNvPr id="89" name="Grafik 4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1242000" cy="12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304800</xdr:colOff>
      <xdr:row>0</xdr:row>
      <xdr:rowOff>161925</xdr:rowOff>
    </xdr:from>
    <xdr:to>
      <xdr:col>7</xdr:col>
      <xdr:colOff>608621</xdr:colOff>
      <xdr:row>5</xdr:row>
      <xdr:rowOff>28575</xdr:rowOff>
    </xdr:to>
    <xdr:pic>
      <xdr:nvPicPr>
        <xdr:cNvPr id="90" name="Grafik 18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61925"/>
          <a:ext cx="1665896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108113</xdr:colOff>
      <xdr:row>54</xdr:row>
      <xdr:rowOff>14286</xdr:rowOff>
    </xdr:from>
    <xdr:to>
      <xdr:col>2</xdr:col>
      <xdr:colOff>755814</xdr:colOff>
      <xdr:row>54</xdr:row>
      <xdr:rowOff>395287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98763" y="15925799"/>
          <a:ext cx="647701" cy="381001"/>
        </a:xfrm>
        <a:prstGeom prst="rect">
          <a:avLst/>
        </a:prstGeom>
      </xdr:spPr>
    </xdr:pic>
    <xdr:clientData/>
  </xdr:twoCellAnchor>
  <xdr:twoCellAnchor>
    <xdr:from>
      <xdr:col>2</xdr:col>
      <xdr:colOff>123827</xdr:colOff>
      <xdr:row>55</xdr:row>
      <xdr:rowOff>71438</xdr:rowOff>
    </xdr:from>
    <xdr:to>
      <xdr:col>2</xdr:col>
      <xdr:colOff>701972</xdr:colOff>
      <xdr:row>55</xdr:row>
      <xdr:rowOff>347663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4477" y="16387763"/>
          <a:ext cx="578145" cy="276225"/>
        </a:xfrm>
        <a:prstGeom prst="rect">
          <a:avLst/>
        </a:prstGeom>
      </xdr:spPr>
    </xdr:pic>
    <xdr:clientData/>
  </xdr:twoCellAnchor>
  <xdr:twoCellAnchor>
    <xdr:from>
      <xdr:col>2</xdr:col>
      <xdr:colOff>109538</xdr:colOff>
      <xdr:row>68</xdr:row>
      <xdr:rowOff>33340</xdr:rowOff>
    </xdr:from>
    <xdr:to>
      <xdr:col>2</xdr:col>
      <xdr:colOff>686247</xdr:colOff>
      <xdr:row>68</xdr:row>
      <xdr:rowOff>370378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00188" y="30756228"/>
          <a:ext cx="576709" cy="337038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69</xdr:row>
      <xdr:rowOff>9525</xdr:rowOff>
    </xdr:from>
    <xdr:to>
      <xdr:col>2</xdr:col>
      <xdr:colOff>547837</xdr:colOff>
      <xdr:row>69</xdr:row>
      <xdr:rowOff>381000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44</xdr:row>
      <xdr:rowOff>23812</xdr:rowOff>
    </xdr:from>
    <xdr:to>
      <xdr:col>2</xdr:col>
      <xdr:colOff>556817</xdr:colOff>
      <xdr:row>44</xdr:row>
      <xdr:rowOff>385762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70</xdr:row>
      <xdr:rowOff>9525</xdr:rowOff>
    </xdr:from>
    <xdr:to>
      <xdr:col>2</xdr:col>
      <xdr:colOff>547837</xdr:colOff>
      <xdr:row>70</xdr:row>
      <xdr:rowOff>381000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71</xdr:row>
      <xdr:rowOff>9525</xdr:rowOff>
    </xdr:from>
    <xdr:to>
      <xdr:col>2</xdr:col>
      <xdr:colOff>547837</xdr:colOff>
      <xdr:row>71</xdr:row>
      <xdr:rowOff>381000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72</xdr:row>
      <xdr:rowOff>9525</xdr:rowOff>
    </xdr:from>
    <xdr:to>
      <xdr:col>2</xdr:col>
      <xdr:colOff>547837</xdr:colOff>
      <xdr:row>72</xdr:row>
      <xdr:rowOff>381000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19250" y="21993225"/>
          <a:ext cx="319237" cy="371475"/>
        </a:xfrm>
        <a:prstGeom prst="rect">
          <a:avLst/>
        </a:prstGeom>
      </xdr:spPr>
    </xdr:pic>
    <xdr:clientData/>
  </xdr:twoCellAnchor>
  <xdr:twoCellAnchor>
    <xdr:from>
      <xdr:col>2</xdr:col>
      <xdr:colOff>270273</xdr:colOff>
      <xdr:row>45</xdr:row>
      <xdr:rowOff>23812</xdr:rowOff>
    </xdr:from>
    <xdr:to>
      <xdr:col>2</xdr:col>
      <xdr:colOff>556817</xdr:colOff>
      <xdr:row>45</xdr:row>
      <xdr:rowOff>385762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0923" y="11887200"/>
          <a:ext cx="286544" cy="361950"/>
        </a:xfrm>
        <a:prstGeom prst="rect">
          <a:avLst/>
        </a:prstGeom>
      </xdr:spPr>
    </xdr:pic>
    <xdr:clientData/>
  </xdr:twoCellAnchor>
  <xdr:twoCellAnchor>
    <xdr:from>
      <xdr:col>2</xdr:col>
      <xdr:colOff>171451</xdr:colOff>
      <xdr:row>49</xdr:row>
      <xdr:rowOff>28575</xdr:rowOff>
    </xdr:from>
    <xdr:to>
      <xdr:col>2</xdr:col>
      <xdr:colOff>629963</xdr:colOff>
      <xdr:row>49</xdr:row>
      <xdr:rowOff>376238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62101" y="13916025"/>
          <a:ext cx="458512" cy="347663"/>
        </a:xfrm>
        <a:prstGeom prst="rect">
          <a:avLst/>
        </a:prstGeom>
      </xdr:spPr>
    </xdr:pic>
    <xdr:clientData/>
  </xdr:twoCellAnchor>
  <xdr:twoCellAnchor>
    <xdr:from>
      <xdr:col>2</xdr:col>
      <xdr:colOff>274757</xdr:colOff>
      <xdr:row>74</xdr:row>
      <xdr:rowOff>18316</xdr:rowOff>
    </xdr:from>
    <xdr:to>
      <xdr:col>2</xdr:col>
      <xdr:colOff>532488</xdr:colOff>
      <xdr:row>74</xdr:row>
      <xdr:rowOff>373673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65407" y="31550829"/>
          <a:ext cx="257731" cy="355357"/>
        </a:xfrm>
        <a:prstGeom prst="rect">
          <a:avLst/>
        </a:prstGeom>
      </xdr:spPr>
    </xdr:pic>
    <xdr:clientData/>
  </xdr:twoCellAnchor>
  <xdr:twoCellAnchor>
    <xdr:from>
      <xdr:col>2</xdr:col>
      <xdr:colOff>315055</xdr:colOff>
      <xdr:row>73</xdr:row>
      <xdr:rowOff>19366</xdr:rowOff>
    </xdr:from>
    <xdr:to>
      <xdr:col>2</xdr:col>
      <xdr:colOff>461593</xdr:colOff>
      <xdr:row>73</xdr:row>
      <xdr:rowOff>391991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10455" y="23441341"/>
          <a:ext cx="146538" cy="3726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</xdr:row>
      <xdr:rowOff>38100</xdr:rowOff>
    </xdr:from>
    <xdr:to>
      <xdr:col>4</xdr:col>
      <xdr:colOff>630583</xdr:colOff>
      <xdr:row>3</xdr:row>
      <xdr:rowOff>171448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14500" y="390525"/>
          <a:ext cx="1706908" cy="676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emf"/><Relationship Id="rId13" Type="http://schemas.openxmlformats.org/officeDocument/2006/relationships/ctrlProp" Target="../ctrlProps/ctrlProp196.xml"/><Relationship Id="rId18" Type="http://schemas.openxmlformats.org/officeDocument/2006/relationships/ctrlProp" Target="../ctrlProps/ctrlProp201.xml"/><Relationship Id="rId26" Type="http://schemas.openxmlformats.org/officeDocument/2006/relationships/ctrlProp" Target="../ctrlProps/ctrlProp209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204.xml"/><Relationship Id="rId34" Type="http://schemas.openxmlformats.org/officeDocument/2006/relationships/ctrlProp" Target="../ctrlProps/ctrlProp217.xml"/><Relationship Id="rId7" Type="http://schemas.openxmlformats.org/officeDocument/2006/relationships/oleObject" Target="../embeddings/oleObject4.bin"/><Relationship Id="rId12" Type="http://schemas.openxmlformats.org/officeDocument/2006/relationships/ctrlProp" Target="../ctrlProps/ctrlProp195.xml"/><Relationship Id="rId17" Type="http://schemas.openxmlformats.org/officeDocument/2006/relationships/ctrlProp" Target="../ctrlProps/ctrlProp200.xml"/><Relationship Id="rId25" Type="http://schemas.openxmlformats.org/officeDocument/2006/relationships/ctrlProp" Target="../ctrlProps/ctrlProp208.xml"/><Relationship Id="rId33" Type="http://schemas.openxmlformats.org/officeDocument/2006/relationships/ctrlProp" Target="../ctrlProps/ctrlProp216.xml"/><Relationship Id="rId38" Type="http://schemas.openxmlformats.org/officeDocument/2006/relationships/ctrlProp" Target="../ctrlProps/ctrlProp22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99.xml"/><Relationship Id="rId20" Type="http://schemas.openxmlformats.org/officeDocument/2006/relationships/ctrlProp" Target="../ctrlProps/ctrlProp203.xml"/><Relationship Id="rId29" Type="http://schemas.openxmlformats.org/officeDocument/2006/relationships/ctrlProp" Target="../ctrlProps/ctrlProp212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36.emf"/><Relationship Id="rId11" Type="http://schemas.openxmlformats.org/officeDocument/2006/relationships/ctrlProp" Target="../ctrlProps/ctrlProp194.xml"/><Relationship Id="rId24" Type="http://schemas.openxmlformats.org/officeDocument/2006/relationships/ctrlProp" Target="../ctrlProps/ctrlProp207.xml"/><Relationship Id="rId32" Type="http://schemas.openxmlformats.org/officeDocument/2006/relationships/ctrlProp" Target="../ctrlProps/ctrlProp215.xml"/><Relationship Id="rId37" Type="http://schemas.openxmlformats.org/officeDocument/2006/relationships/ctrlProp" Target="../ctrlProps/ctrlProp220.xml"/><Relationship Id="rId5" Type="http://schemas.openxmlformats.org/officeDocument/2006/relationships/oleObject" Target="../embeddings/oleObject3.bin"/><Relationship Id="rId15" Type="http://schemas.openxmlformats.org/officeDocument/2006/relationships/ctrlProp" Target="../ctrlProps/ctrlProp198.xml"/><Relationship Id="rId23" Type="http://schemas.openxmlformats.org/officeDocument/2006/relationships/ctrlProp" Target="../ctrlProps/ctrlProp206.xml"/><Relationship Id="rId28" Type="http://schemas.openxmlformats.org/officeDocument/2006/relationships/ctrlProp" Target="../ctrlProps/ctrlProp211.xml"/><Relationship Id="rId36" Type="http://schemas.openxmlformats.org/officeDocument/2006/relationships/ctrlProp" Target="../ctrlProps/ctrlProp219.xml"/><Relationship Id="rId10" Type="http://schemas.openxmlformats.org/officeDocument/2006/relationships/ctrlProp" Target="../ctrlProps/ctrlProp193.xml"/><Relationship Id="rId19" Type="http://schemas.openxmlformats.org/officeDocument/2006/relationships/ctrlProp" Target="../ctrlProps/ctrlProp202.xml"/><Relationship Id="rId31" Type="http://schemas.openxmlformats.org/officeDocument/2006/relationships/ctrlProp" Target="../ctrlProps/ctrlProp214.xml"/><Relationship Id="rId4" Type="http://schemas.openxmlformats.org/officeDocument/2006/relationships/vmlDrawing" Target="../drawings/vmlDrawing20.vml"/><Relationship Id="rId9" Type="http://schemas.openxmlformats.org/officeDocument/2006/relationships/ctrlProp" Target="../ctrlProps/ctrlProp192.xml"/><Relationship Id="rId14" Type="http://schemas.openxmlformats.org/officeDocument/2006/relationships/ctrlProp" Target="../ctrlProps/ctrlProp197.xml"/><Relationship Id="rId22" Type="http://schemas.openxmlformats.org/officeDocument/2006/relationships/ctrlProp" Target="../ctrlProps/ctrlProp205.xml"/><Relationship Id="rId27" Type="http://schemas.openxmlformats.org/officeDocument/2006/relationships/ctrlProp" Target="../ctrlProps/ctrlProp210.xml"/><Relationship Id="rId30" Type="http://schemas.openxmlformats.org/officeDocument/2006/relationships/ctrlProp" Target="../ctrlProps/ctrlProp213.xml"/><Relationship Id="rId35" Type="http://schemas.openxmlformats.org/officeDocument/2006/relationships/ctrlProp" Target="../ctrlProps/ctrlProp21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emf"/><Relationship Id="rId13" Type="http://schemas.openxmlformats.org/officeDocument/2006/relationships/ctrlProp" Target="../ctrlProps/ctrlProp226.xml"/><Relationship Id="rId18" Type="http://schemas.openxmlformats.org/officeDocument/2006/relationships/ctrlProp" Target="../ctrlProps/ctrlProp231.xml"/><Relationship Id="rId26" Type="http://schemas.openxmlformats.org/officeDocument/2006/relationships/ctrlProp" Target="../ctrlProps/ctrlProp239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234.xml"/><Relationship Id="rId34" Type="http://schemas.openxmlformats.org/officeDocument/2006/relationships/ctrlProp" Target="../ctrlProps/ctrlProp247.xml"/><Relationship Id="rId7" Type="http://schemas.openxmlformats.org/officeDocument/2006/relationships/oleObject" Target="../embeddings/oleObject6.bin"/><Relationship Id="rId12" Type="http://schemas.openxmlformats.org/officeDocument/2006/relationships/ctrlProp" Target="../ctrlProps/ctrlProp225.xml"/><Relationship Id="rId17" Type="http://schemas.openxmlformats.org/officeDocument/2006/relationships/ctrlProp" Target="../ctrlProps/ctrlProp230.xml"/><Relationship Id="rId25" Type="http://schemas.openxmlformats.org/officeDocument/2006/relationships/ctrlProp" Target="../ctrlProps/ctrlProp238.xml"/><Relationship Id="rId33" Type="http://schemas.openxmlformats.org/officeDocument/2006/relationships/ctrlProp" Target="../ctrlProps/ctrlProp246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29.xml"/><Relationship Id="rId20" Type="http://schemas.openxmlformats.org/officeDocument/2006/relationships/ctrlProp" Target="../ctrlProps/ctrlProp233.xml"/><Relationship Id="rId29" Type="http://schemas.openxmlformats.org/officeDocument/2006/relationships/ctrlProp" Target="../ctrlProps/ctrlProp242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36.emf"/><Relationship Id="rId11" Type="http://schemas.openxmlformats.org/officeDocument/2006/relationships/ctrlProp" Target="../ctrlProps/ctrlProp224.xml"/><Relationship Id="rId24" Type="http://schemas.openxmlformats.org/officeDocument/2006/relationships/ctrlProp" Target="../ctrlProps/ctrlProp237.xml"/><Relationship Id="rId32" Type="http://schemas.openxmlformats.org/officeDocument/2006/relationships/ctrlProp" Target="../ctrlProps/ctrlProp245.xml"/><Relationship Id="rId5" Type="http://schemas.openxmlformats.org/officeDocument/2006/relationships/oleObject" Target="../embeddings/oleObject5.bin"/><Relationship Id="rId15" Type="http://schemas.openxmlformats.org/officeDocument/2006/relationships/ctrlProp" Target="../ctrlProps/ctrlProp228.xml"/><Relationship Id="rId23" Type="http://schemas.openxmlformats.org/officeDocument/2006/relationships/ctrlProp" Target="../ctrlProps/ctrlProp236.xml"/><Relationship Id="rId28" Type="http://schemas.openxmlformats.org/officeDocument/2006/relationships/ctrlProp" Target="../ctrlProps/ctrlProp241.xml"/><Relationship Id="rId10" Type="http://schemas.openxmlformats.org/officeDocument/2006/relationships/ctrlProp" Target="../ctrlProps/ctrlProp223.xml"/><Relationship Id="rId19" Type="http://schemas.openxmlformats.org/officeDocument/2006/relationships/ctrlProp" Target="../ctrlProps/ctrlProp232.xml"/><Relationship Id="rId31" Type="http://schemas.openxmlformats.org/officeDocument/2006/relationships/ctrlProp" Target="../ctrlProps/ctrlProp244.xml"/><Relationship Id="rId4" Type="http://schemas.openxmlformats.org/officeDocument/2006/relationships/vmlDrawing" Target="../drawings/vmlDrawing22.vml"/><Relationship Id="rId9" Type="http://schemas.openxmlformats.org/officeDocument/2006/relationships/ctrlProp" Target="../ctrlProps/ctrlProp222.xml"/><Relationship Id="rId14" Type="http://schemas.openxmlformats.org/officeDocument/2006/relationships/ctrlProp" Target="../ctrlProps/ctrlProp227.xml"/><Relationship Id="rId22" Type="http://schemas.openxmlformats.org/officeDocument/2006/relationships/ctrlProp" Target="../ctrlProps/ctrlProp235.xml"/><Relationship Id="rId27" Type="http://schemas.openxmlformats.org/officeDocument/2006/relationships/ctrlProp" Target="../ctrlProps/ctrlProp240.xml"/><Relationship Id="rId30" Type="http://schemas.openxmlformats.org/officeDocument/2006/relationships/ctrlProp" Target="../ctrlProps/ctrlProp24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1.xml"/><Relationship Id="rId13" Type="http://schemas.openxmlformats.org/officeDocument/2006/relationships/ctrlProp" Target="../ctrlProps/ctrlProp256.xml"/><Relationship Id="rId18" Type="http://schemas.openxmlformats.org/officeDocument/2006/relationships/ctrlProp" Target="../ctrlProps/ctrlProp261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264.xml"/><Relationship Id="rId7" Type="http://schemas.openxmlformats.org/officeDocument/2006/relationships/ctrlProp" Target="../ctrlProps/ctrlProp250.xml"/><Relationship Id="rId12" Type="http://schemas.openxmlformats.org/officeDocument/2006/relationships/ctrlProp" Target="../ctrlProps/ctrlProp255.xml"/><Relationship Id="rId17" Type="http://schemas.openxmlformats.org/officeDocument/2006/relationships/ctrlProp" Target="../ctrlProps/ctrlProp260.xml"/><Relationship Id="rId25" Type="http://schemas.openxmlformats.org/officeDocument/2006/relationships/ctrlProp" Target="../ctrlProps/ctrlProp268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259.xml"/><Relationship Id="rId20" Type="http://schemas.openxmlformats.org/officeDocument/2006/relationships/ctrlProp" Target="../ctrlProps/ctrlProp263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249.xml"/><Relationship Id="rId11" Type="http://schemas.openxmlformats.org/officeDocument/2006/relationships/ctrlProp" Target="../ctrlProps/ctrlProp254.xml"/><Relationship Id="rId24" Type="http://schemas.openxmlformats.org/officeDocument/2006/relationships/ctrlProp" Target="../ctrlProps/ctrlProp267.xml"/><Relationship Id="rId5" Type="http://schemas.openxmlformats.org/officeDocument/2006/relationships/ctrlProp" Target="../ctrlProps/ctrlProp248.xml"/><Relationship Id="rId15" Type="http://schemas.openxmlformats.org/officeDocument/2006/relationships/ctrlProp" Target="../ctrlProps/ctrlProp258.xml"/><Relationship Id="rId23" Type="http://schemas.openxmlformats.org/officeDocument/2006/relationships/ctrlProp" Target="../ctrlProps/ctrlProp266.xml"/><Relationship Id="rId10" Type="http://schemas.openxmlformats.org/officeDocument/2006/relationships/ctrlProp" Target="../ctrlProps/ctrlProp253.xml"/><Relationship Id="rId19" Type="http://schemas.openxmlformats.org/officeDocument/2006/relationships/ctrlProp" Target="../ctrlProps/ctrlProp262.xml"/><Relationship Id="rId4" Type="http://schemas.openxmlformats.org/officeDocument/2006/relationships/vmlDrawing" Target="../drawings/vmlDrawing24.vml"/><Relationship Id="rId9" Type="http://schemas.openxmlformats.org/officeDocument/2006/relationships/ctrlProp" Target="../ctrlProps/ctrlProp252.xml"/><Relationship Id="rId14" Type="http://schemas.openxmlformats.org/officeDocument/2006/relationships/ctrlProp" Target="../ctrlProps/ctrlProp257.xml"/><Relationship Id="rId22" Type="http://schemas.openxmlformats.org/officeDocument/2006/relationships/ctrlProp" Target="../ctrlProps/ctrlProp26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2.xml"/><Relationship Id="rId13" Type="http://schemas.openxmlformats.org/officeDocument/2006/relationships/ctrlProp" Target="../ctrlProps/ctrlProp277.xml"/><Relationship Id="rId18" Type="http://schemas.openxmlformats.org/officeDocument/2006/relationships/ctrlProp" Target="../ctrlProps/ctrlProp282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71.xml"/><Relationship Id="rId12" Type="http://schemas.openxmlformats.org/officeDocument/2006/relationships/ctrlProp" Target="../ctrlProps/ctrlProp276.xml"/><Relationship Id="rId17" Type="http://schemas.openxmlformats.org/officeDocument/2006/relationships/ctrlProp" Target="../ctrlProps/ctrlProp281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280.xml"/><Relationship Id="rId20" Type="http://schemas.openxmlformats.org/officeDocument/2006/relationships/ctrlProp" Target="../ctrlProps/ctrlProp284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270.xml"/><Relationship Id="rId11" Type="http://schemas.openxmlformats.org/officeDocument/2006/relationships/ctrlProp" Target="../ctrlProps/ctrlProp275.xml"/><Relationship Id="rId5" Type="http://schemas.openxmlformats.org/officeDocument/2006/relationships/ctrlProp" Target="../ctrlProps/ctrlProp269.xml"/><Relationship Id="rId15" Type="http://schemas.openxmlformats.org/officeDocument/2006/relationships/ctrlProp" Target="../ctrlProps/ctrlProp279.xml"/><Relationship Id="rId10" Type="http://schemas.openxmlformats.org/officeDocument/2006/relationships/ctrlProp" Target="../ctrlProps/ctrlProp274.xml"/><Relationship Id="rId19" Type="http://schemas.openxmlformats.org/officeDocument/2006/relationships/ctrlProp" Target="../ctrlProps/ctrlProp283.xml"/><Relationship Id="rId4" Type="http://schemas.openxmlformats.org/officeDocument/2006/relationships/vmlDrawing" Target="../drawings/vmlDrawing26.vml"/><Relationship Id="rId9" Type="http://schemas.openxmlformats.org/officeDocument/2006/relationships/ctrlProp" Target="../ctrlProps/ctrlProp273.xml"/><Relationship Id="rId14" Type="http://schemas.openxmlformats.org/officeDocument/2006/relationships/ctrlProp" Target="../ctrlProps/ctrlProp27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5" Type="http://schemas.openxmlformats.org/officeDocument/2006/relationships/ctrlProp" Target="../ctrlProps/ctrlProp3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18" Type="http://schemas.openxmlformats.org/officeDocument/2006/relationships/ctrlProp" Target="../ctrlProps/ctrlProp51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54.x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17" Type="http://schemas.openxmlformats.org/officeDocument/2006/relationships/ctrlProp" Target="../ctrlProps/ctrlProp50.xml"/><Relationship Id="rId25" Type="http://schemas.openxmlformats.org/officeDocument/2006/relationships/ctrlProp" Target="../ctrlProps/ctrlProp5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49.xml"/><Relationship Id="rId20" Type="http://schemas.openxmlformats.org/officeDocument/2006/relationships/ctrlProp" Target="../ctrlProps/ctrlProp5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24" Type="http://schemas.openxmlformats.org/officeDocument/2006/relationships/ctrlProp" Target="../ctrlProps/ctrlProp57.xml"/><Relationship Id="rId5" Type="http://schemas.openxmlformats.org/officeDocument/2006/relationships/ctrlProp" Target="../ctrlProps/ctrlProp38.xml"/><Relationship Id="rId15" Type="http://schemas.openxmlformats.org/officeDocument/2006/relationships/ctrlProp" Target="../ctrlProps/ctrlProp48.xml"/><Relationship Id="rId23" Type="http://schemas.openxmlformats.org/officeDocument/2006/relationships/ctrlProp" Target="../ctrlProps/ctrlProp56.xml"/><Relationship Id="rId10" Type="http://schemas.openxmlformats.org/officeDocument/2006/relationships/ctrlProp" Target="../ctrlProps/ctrlProp43.xml"/><Relationship Id="rId19" Type="http://schemas.openxmlformats.org/officeDocument/2006/relationships/ctrlProp" Target="../ctrlProps/ctrlProp52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Relationship Id="rId22" Type="http://schemas.openxmlformats.org/officeDocument/2006/relationships/ctrlProp" Target="../ctrlProps/ctrlProp5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13" Type="http://schemas.openxmlformats.org/officeDocument/2006/relationships/ctrlProp" Target="../ctrlProps/ctrlProp67.xml"/><Relationship Id="rId18" Type="http://schemas.openxmlformats.org/officeDocument/2006/relationships/ctrlProp" Target="../ctrlProps/ctrlProp72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75.xml"/><Relationship Id="rId7" Type="http://schemas.openxmlformats.org/officeDocument/2006/relationships/ctrlProp" Target="../ctrlProps/ctrlProp61.xml"/><Relationship Id="rId12" Type="http://schemas.openxmlformats.org/officeDocument/2006/relationships/ctrlProp" Target="../ctrlProps/ctrlProp66.xml"/><Relationship Id="rId17" Type="http://schemas.openxmlformats.org/officeDocument/2006/relationships/ctrlProp" Target="../ctrlProps/ctrlProp71.xml"/><Relationship Id="rId25" Type="http://schemas.openxmlformats.org/officeDocument/2006/relationships/ctrlProp" Target="../ctrlProps/ctrlProp7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70.xml"/><Relationship Id="rId20" Type="http://schemas.openxmlformats.org/officeDocument/2006/relationships/ctrlProp" Target="../ctrlProps/ctrlProp7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0.xml"/><Relationship Id="rId11" Type="http://schemas.openxmlformats.org/officeDocument/2006/relationships/ctrlProp" Target="../ctrlProps/ctrlProp65.xml"/><Relationship Id="rId24" Type="http://schemas.openxmlformats.org/officeDocument/2006/relationships/ctrlProp" Target="../ctrlProps/ctrlProp78.xml"/><Relationship Id="rId5" Type="http://schemas.openxmlformats.org/officeDocument/2006/relationships/ctrlProp" Target="../ctrlProps/ctrlProp59.xml"/><Relationship Id="rId15" Type="http://schemas.openxmlformats.org/officeDocument/2006/relationships/ctrlProp" Target="../ctrlProps/ctrlProp69.xml"/><Relationship Id="rId23" Type="http://schemas.openxmlformats.org/officeDocument/2006/relationships/ctrlProp" Target="../ctrlProps/ctrlProp77.xml"/><Relationship Id="rId10" Type="http://schemas.openxmlformats.org/officeDocument/2006/relationships/ctrlProp" Target="../ctrlProps/ctrlProp64.xml"/><Relationship Id="rId19" Type="http://schemas.openxmlformats.org/officeDocument/2006/relationships/ctrlProp" Target="../ctrlProps/ctrlProp73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63.xml"/><Relationship Id="rId14" Type="http://schemas.openxmlformats.org/officeDocument/2006/relationships/ctrlProp" Target="../ctrlProps/ctrlProp68.xml"/><Relationship Id="rId22" Type="http://schemas.openxmlformats.org/officeDocument/2006/relationships/ctrlProp" Target="../ctrlProps/ctrlProp7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1.xml"/><Relationship Id="rId13" Type="http://schemas.openxmlformats.org/officeDocument/2006/relationships/ctrlProp" Target="../ctrlProps/ctrlProp86.xml"/><Relationship Id="rId18" Type="http://schemas.openxmlformats.org/officeDocument/2006/relationships/ctrlProp" Target="../ctrlProps/ctrlProp91.xml"/><Relationship Id="rId26" Type="http://schemas.openxmlformats.org/officeDocument/2006/relationships/ctrlProp" Target="../ctrlProps/ctrlProp99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94.xml"/><Relationship Id="rId7" Type="http://schemas.openxmlformats.org/officeDocument/2006/relationships/ctrlProp" Target="../ctrlProps/ctrlProp80.xml"/><Relationship Id="rId12" Type="http://schemas.openxmlformats.org/officeDocument/2006/relationships/ctrlProp" Target="../ctrlProps/ctrlProp85.xml"/><Relationship Id="rId17" Type="http://schemas.openxmlformats.org/officeDocument/2006/relationships/ctrlProp" Target="../ctrlProps/ctrlProp90.xml"/><Relationship Id="rId25" Type="http://schemas.openxmlformats.org/officeDocument/2006/relationships/ctrlProp" Target="../ctrlProps/ctrlProp9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89.xml"/><Relationship Id="rId20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91.emf"/><Relationship Id="rId11" Type="http://schemas.openxmlformats.org/officeDocument/2006/relationships/ctrlProp" Target="../ctrlProps/ctrlProp84.xml"/><Relationship Id="rId24" Type="http://schemas.openxmlformats.org/officeDocument/2006/relationships/ctrlProp" Target="../ctrlProps/ctrlProp97.xml"/><Relationship Id="rId5" Type="http://schemas.openxmlformats.org/officeDocument/2006/relationships/oleObject" Target="../embeddings/oleObject1.bin"/><Relationship Id="rId15" Type="http://schemas.openxmlformats.org/officeDocument/2006/relationships/ctrlProp" Target="../ctrlProps/ctrlProp88.xml"/><Relationship Id="rId23" Type="http://schemas.openxmlformats.org/officeDocument/2006/relationships/ctrlProp" Target="../ctrlProps/ctrlProp96.xml"/><Relationship Id="rId10" Type="http://schemas.openxmlformats.org/officeDocument/2006/relationships/ctrlProp" Target="../ctrlProps/ctrlProp83.xml"/><Relationship Id="rId19" Type="http://schemas.openxmlformats.org/officeDocument/2006/relationships/ctrlProp" Target="../ctrlProps/ctrlProp9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82.xml"/><Relationship Id="rId14" Type="http://schemas.openxmlformats.org/officeDocument/2006/relationships/ctrlProp" Target="../ctrlProps/ctrlProp87.xml"/><Relationship Id="rId22" Type="http://schemas.openxmlformats.org/officeDocument/2006/relationships/ctrlProp" Target="../ctrlProps/ctrlProp95.xml"/><Relationship Id="rId27" Type="http://schemas.openxmlformats.org/officeDocument/2006/relationships/ctrlProp" Target="../ctrlProps/ctrlProp10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5" Type="http://schemas.openxmlformats.org/officeDocument/2006/relationships/ctrlProp" Target="../ctrlProps/ctrlProp12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24" Type="http://schemas.openxmlformats.org/officeDocument/2006/relationships/ctrlProp" Target="../ctrlProps/ctrlProp120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5.xml"/><Relationship Id="rId13" Type="http://schemas.openxmlformats.org/officeDocument/2006/relationships/ctrlProp" Target="../ctrlProps/ctrlProp130.xml"/><Relationship Id="rId18" Type="http://schemas.openxmlformats.org/officeDocument/2006/relationships/ctrlProp" Target="../ctrlProps/ctrlProp135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138.xml"/><Relationship Id="rId7" Type="http://schemas.openxmlformats.org/officeDocument/2006/relationships/ctrlProp" Target="../ctrlProps/ctrlProp124.xml"/><Relationship Id="rId12" Type="http://schemas.openxmlformats.org/officeDocument/2006/relationships/ctrlProp" Target="../ctrlProps/ctrlProp129.xml"/><Relationship Id="rId17" Type="http://schemas.openxmlformats.org/officeDocument/2006/relationships/ctrlProp" Target="../ctrlProps/ctrlProp134.xml"/><Relationship Id="rId25" Type="http://schemas.openxmlformats.org/officeDocument/2006/relationships/ctrlProp" Target="../ctrlProps/ctrlProp142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3.xml"/><Relationship Id="rId2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3.xml"/><Relationship Id="rId11" Type="http://schemas.openxmlformats.org/officeDocument/2006/relationships/ctrlProp" Target="../ctrlProps/ctrlProp128.xml"/><Relationship Id="rId24" Type="http://schemas.openxmlformats.org/officeDocument/2006/relationships/ctrlProp" Target="../ctrlProps/ctrlProp141.xml"/><Relationship Id="rId5" Type="http://schemas.openxmlformats.org/officeDocument/2006/relationships/ctrlProp" Target="../ctrlProps/ctrlProp122.xml"/><Relationship Id="rId15" Type="http://schemas.openxmlformats.org/officeDocument/2006/relationships/ctrlProp" Target="../ctrlProps/ctrlProp132.xml"/><Relationship Id="rId23" Type="http://schemas.openxmlformats.org/officeDocument/2006/relationships/ctrlProp" Target="../ctrlProps/ctrlProp140.xml"/><Relationship Id="rId10" Type="http://schemas.openxmlformats.org/officeDocument/2006/relationships/ctrlProp" Target="../ctrlProps/ctrlProp127.xml"/><Relationship Id="rId19" Type="http://schemas.openxmlformats.org/officeDocument/2006/relationships/ctrlProp" Target="../ctrlProps/ctrlProp136.xml"/><Relationship Id="rId4" Type="http://schemas.openxmlformats.org/officeDocument/2006/relationships/vmlDrawing" Target="../drawings/vmlDrawing14.vml"/><Relationship Id="rId9" Type="http://schemas.openxmlformats.org/officeDocument/2006/relationships/ctrlProp" Target="../ctrlProps/ctrlProp126.xml"/><Relationship Id="rId14" Type="http://schemas.openxmlformats.org/officeDocument/2006/relationships/ctrlProp" Target="../ctrlProps/ctrlProp131.xml"/><Relationship Id="rId22" Type="http://schemas.openxmlformats.org/officeDocument/2006/relationships/ctrlProp" Target="../ctrlProps/ctrlProp13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26" Type="http://schemas.openxmlformats.org/officeDocument/2006/relationships/ctrlProp" Target="../ctrlProps/ctrlProp162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5" Type="http://schemas.openxmlformats.org/officeDocument/2006/relationships/ctrlProp" Target="../ctrlProps/ctrlProp161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91.emf"/><Relationship Id="rId11" Type="http://schemas.openxmlformats.org/officeDocument/2006/relationships/ctrlProp" Target="../ctrlProps/ctrlProp147.xml"/><Relationship Id="rId24" Type="http://schemas.openxmlformats.org/officeDocument/2006/relationships/ctrlProp" Target="../ctrlProps/ctrlProp160.xml"/><Relationship Id="rId5" Type="http://schemas.openxmlformats.org/officeDocument/2006/relationships/oleObject" Target="../embeddings/oleObject2.bin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vmlDrawing" Target="../drawings/vmlDrawing16.v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6.xml"/><Relationship Id="rId13" Type="http://schemas.openxmlformats.org/officeDocument/2006/relationships/ctrlProp" Target="../ctrlProps/ctrlProp171.xml"/><Relationship Id="rId18" Type="http://schemas.openxmlformats.org/officeDocument/2006/relationships/ctrlProp" Target="../ctrlProps/ctrlProp176.xml"/><Relationship Id="rId26" Type="http://schemas.openxmlformats.org/officeDocument/2006/relationships/ctrlProp" Target="../ctrlProps/ctrlProp18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179.xml"/><Relationship Id="rId7" Type="http://schemas.openxmlformats.org/officeDocument/2006/relationships/ctrlProp" Target="../ctrlProps/ctrlProp165.xml"/><Relationship Id="rId12" Type="http://schemas.openxmlformats.org/officeDocument/2006/relationships/ctrlProp" Target="../ctrlProps/ctrlProp170.xml"/><Relationship Id="rId17" Type="http://schemas.openxmlformats.org/officeDocument/2006/relationships/ctrlProp" Target="../ctrlProps/ctrlProp175.xml"/><Relationship Id="rId25" Type="http://schemas.openxmlformats.org/officeDocument/2006/relationships/ctrlProp" Target="../ctrlProps/ctrlProp183.xml"/><Relationship Id="rId33" Type="http://schemas.openxmlformats.org/officeDocument/2006/relationships/ctrlProp" Target="../ctrlProps/ctrlProp191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74.xml"/><Relationship Id="rId20" Type="http://schemas.openxmlformats.org/officeDocument/2006/relationships/ctrlProp" Target="../ctrlProps/ctrlProp178.xml"/><Relationship Id="rId29" Type="http://schemas.openxmlformats.org/officeDocument/2006/relationships/ctrlProp" Target="../ctrlProps/ctrlProp18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64.xml"/><Relationship Id="rId11" Type="http://schemas.openxmlformats.org/officeDocument/2006/relationships/ctrlProp" Target="../ctrlProps/ctrlProp169.xml"/><Relationship Id="rId24" Type="http://schemas.openxmlformats.org/officeDocument/2006/relationships/ctrlProp" Target="../ctrlProps/ctrlProp182.xml"/><Relationship Id="rId32" Type="http://schemas.openxmlformats.org/officeDocument/2006/relationships/ctrlProp" Target="../ctrlProps/ctrlProp190.xml"/><Relationship Id="rId5" Type="http://schemas.openxmlformats.org/officeDocument/2006/relationships/ctrlProp" Target="../ctrlProps/ctrlProp163.xml"/><Relationship Id="rId15" Type="http://schemas.openxmlformats.org/officeDocument/2006/relationships/ctrlProp" Target="../ctrlProps/ctrlProp173.xml"/><Relationship Id="rId23" Type="http://schemas.openxmlformats.org/officeDocument/2006/relationships/ctrlProp" Target="../ctrlProps/ctrlProp181.xml"/><Relationship Id="rId28" Type="http://schemas.openxmlformats.org/officeDocument/2006/relationships/ctrlProp" Target="../ctrlProps/ctrlProp186.xml"/><Relationship Id="rId10" Type="http://schemas.openxmlformats.org/officeDocument/2006/relationships/ctrlProp" Target="../ctrlProps/ctrlProp168.xml"/><Relationship Id="rId19" Type="http://schemas.openxmlformats.org/officeDocument/2006/relationships/ctrlProp" Target="../ctrlProps/ctrlProp177.xml"/><Relationship Id="rId31" Type="http://schemas.openxmlformats.org/officeDocument/2006/relationships/ctrlProp" Target="../ctrlProps/ctrlProp189.xml"/><Relationship Id="rId4" Type="http://schemas.openxmlformats.org/officeDocument/2006/relationships/vmlDrawing" Target="../drawings/vmlDrawing18.vml"/><Relationship Id="rId9" Type="http://schemas.openxmlformats.org/officeDocument/2006/relationships/ctrlProp" Target="../ctrlProps/ctrlProp167.xml"/><Relationship Id="rId14" Type="http://schemas.openxmlformats.org/officeDocument/2006/relationships/ctrlProp" Target="../ctrlProps/ctrlProp172.xml"/><Relationship Id="rId22" Type="http://schemas.openxmlformats.org/officeDocument/2006/relationships/ctrlProp" Target="../ctrlProps/ctrlProp180.xml"/><Relationship Id="rId27" Type="http://schemas.openxmlformats.org/officeDocument/2006/relationships/ctrlProp" Target="../ctrlProps/ctrlProp185.xml"/><Relationship Id="rId30" Type="http://schemas.openxmlformats.org/officeDocument/2006/relationships/ctrlProp" Target="../ctrlProps/ctrlProp18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4"/>
  <dimension ref="A1:XFC60"/>
  <sheetViews>
    <sheetView showGridLines="0" showZeros="0" tabSelected="1" workbookViewId="0">
      <selection activeCell="B14" sqref="B14"/>
    </sheetView>
  </sheetViews>
  <sheetFormatPr baseColWidth="10" defaultColWidth="0" defaultRowHeight="14.4" zeroHeight="1"/>
  <cols>
    <col min="1" max="1" width="3.6640625" customWidth="1"/>
    <col min="2" max="5" width="7.6640625" customWidth="1"/>
    <col min="6" max="6" width="3" customWidth="1"/>
    <col min="7" max="7" width="12.44140625" customWidth="1"/>
    <col min="8" max="8" width="4.6640625" customWidth="1"/>
    <col min="9" max="12" width="7.6640625" customWidth="1"/>
    <col min="13" max="13" width="11.6640625" customWidth="1"/>
    <col min="14" max="14" width="5.6640625" customWidth="1"/>
    <col min="15" max="16383" width="10.6640625" hidden="1"/>
    <col min="16384" max="16384" width="1.44140625" hidden="1"/>
  </cols>
  <sheetData>
    <row r="1" spans="3:15" ht="28.2">
      <c r="E1" s="247" t="str">
        <f>VLOOKUP("Sprache",Sprachindex!A:Z,$O$6,FALSE)</f>
        <v>Sprache</v>
      </c>
      <c r="F1" s="248"/>
      <c r="G1" s="249"/>
      <c r="M1" s="2" t="str">
        <f>VLOOKUP("Bedienungsanleitung",Sprachindex!A:Z,$O$6,FALSE)</f>
        <v>Bedienungsanleitung</v>
      </c>
    </row>
    <row r="2" spans="3:15">
      <c r="C2" s="1"/>
      <c r="E2" s="38"/>
      <c r="F2" s="39"/>
      <c r="G2" s="40" t="s">
        <v>0</v>
      </c>
      <c r="J2" s="44" t="s">
        <v>1</v>
      </c>
      <c r="K2" t="str">
        <f>VLOOKUP("DACHPLATTE",Sprachindex!A:Z,Info!$O$6,FALSE)</f>
        <v>DACHPLATTE</v>
      </c>
    </row>
    <row r="3" spans="3:15">
      <c r="C3" s="1"/>
      <c r="E3" s="38"/>
      <c r="F3" s="39"/>
      <c r="G3" s="40" t="s">
        <v>2</v>
      </c>
      <c r="J3" s="44" t="s">
        <v>3</v>
      </c>
      <c r="K3" t="str">
        <f>VLOOKUP("DACHPLATTE R.16",Sprachindex!A:Z,Info!$O$6,FALSE)</f>
        <v>DACHPLATTE R.16</v>
      </c>
    </row>
    <row r="4" spans="3:15">
      <c r="C4" s="1"/>
      <c r="E4" s="38"/>
      <c r="F4" s="39"/>
      <c r="G4" s="40" t="s">
        <v>4</v>
      </c>
      <c r="J4" s="44" t="s">
        <v>5</v>
      </c>
      <c r="K4" t="str">
        <f>VLOOKUP("DACHSCHINDEL",Sprachindex!A:Z,Info!$O$6,FALSE)</f>
        <v>DACHSCHINDEL</v>
      </c>
    </row>
    <row r="5" spans="3:15">
      <c r="C5" s="1"/>
      <c r="E5" s="38"/>
      <c r="F5" s="39"/>
      <c r="G5" s="40" t="s">
        <v>6</v>
      </c>
      <c r="J5" s="44" t="s">
        <v>7</v>
      </c>
      <c r="K5" t="str">
        <f>VLOOKUP("DACHRAUTE 44 × 44",Sprachindex!A:Z,Info!$O$6,FALSE)</f>
        <v>DACHRAUTE 44 × 44</v>
      </c>
    </row>
    <row r="6" spans="3:15">
      <c r="C6" s="1"/>
      <c r="E6" s="38"/>
      <c r="F6" s="39"/>
      <c r="G6" s="40" t="s">
        <v>8</v>
      </c>
      <c r="J6" s="44" t="s">
        <v>9</v>
      </c>
      <c r="K6" t="str">
        <f>VLOOKUP("DACHRAUTE 29 × 29",Sprachindex!A:Z,Info!$O$6,FALSE)</f>
        <v>DACHRAUTE 29 × 29</v>
      </c>
      <c r="O6" s="43">
        <v>1</v>
      </c>
    </row>
    <row r="7" spans="3:15">
      <c r="E7" s="41"/>
      <c r="F7" s="42"/>
      <c r="G7" s="177" t="s">
        <v>10</v>
      </c>
      <c r="J7" s="44" t="s">
        <v>11</v>
      </c>
      <c r="K7" t="str">
        <f>VLOOKUP("DACHPANEL FX.12",Sprachindex!A:Z,Info!$O$6,FALSE)</f>
        <v>DACHPANEL FX.12</v>
      </c>
    </row>
    <row r="8" spans="3:15">
      <c r="E8" s="41"/>
      <c r="F8" s="42"/>
      <c r="G8" s="40" t="s">
        <v>12</v>
      </c>
      <c r="J8" s="44" t="s">
        <v>13</v>
      </c>
      <c r="K8" t="str">
        <f>VLOOKUP("PREFALZ",Sprachindex!A:Z,Info!$O$6,FALSE)</f>
        <v>PREFALZ</v>
      </c>
    </row>
    <row r="9" spans="3:15">
      <c r="E9" s="41"/>
      <c r="F9" s="42"/>
      <c r="G9" s="40" t="s">
        <v>14</v>
      </c>
      <c r="J9" s="44" t="s">
        <v>15</v>
      </c>
      <c r="K9" t="str">
        <f>VLOOKUP("QUADRATROHR",Sprachindex!A:Z,Info!$O$6,FALSE)</f>
        <v>Quadratrohr</v>
      </c>
    </row>
    <row r="10" spans="3:15">
      <c r="E10" s="41"/>
      <c r="F10" s="42"/>
      <c r="G10" s="40" t="s">
        <v>16</v>
      </c>
      <c r="J10" s="44" t="s">
        <v>17</v>
      </c>
      <c r="K10" t="str">
        <f>VLOOKUP("DACHENTWÄSSERUNG",Sprachindex!A:Z,Info!$O$6,FALSE)</f>
        <v>DACHENTWÄSSERUNG</v>
      </c>
    </row>
    <row r="11" spans="3:15">
      <c r="E11" s="41"/>
      <c r="F11" s="42"/>
      <c r="G11" s="40" t="s">
        <v>18</v>
      </c>
      <c r="J11" s="44" t="s">
        <v>19</v>
      </c>
      <c r="K11" t="str">
        <f>VLOOKUP("DACHSCHINDEL DS.19",Sprachindex!A:Z,Info!$O$6,FALSE)</f>
        <v>DACHSCHINDEL DS.19</v>
      </c>
    </row>
    <row r="12" spans="3:15">
      <c r="E12" s="137"/>
      <c r="F12" s="138"/>
      <c r="G12" s="178" t="s">
        <v>20</v>
      </c>
      <c r="J12" s="44"/>
    </row>
    <row r="13" spans="3:15">
      <c r="E13" s="137"/>
      <c r="F13" s="138"/>
      <c r="G13" s="139" t="s">
        <v>21</v>
      </c>
    </row>
    <row r="14" spans="3:15">
      <c r="E14" s="137"/>
      <c r="F14" s="138"/>
      <c r="G14" s="139" t="s">
        <v>22</v>
      </c>
    </row>
    <row r="15" spans="3:15">
      <c r="E15" s="137"/>
      <c r="F15" s="138"/>
      <c r="G15" s="139" t="s">
        <v>23</v>
      </c>
    </row>
    <row r="16" spans="3:15"/>
    <row r="17" spans="2:13">
      <c r="B17" s="28" t="str">
        <f>VLOOKUP("1: Das gewünschte Produkt durch Anklicken des Reiters auswählen.",Sprachindex!A:Z,$O$6,FALSE)</f>
        <v>1: Das gewünschte Produkt durch Anklicken des Reiters auswählen.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30"/>
    </row>
    <row r="18" spans="2:13">
      <c r="B18" s="31"/>
      <c r="M18" s="32"/>
    </row>
    <row r="19" spans="2:13">
      <c r="B19" s="33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5"/>
    </row>
    <row r="20" spans="2:13"/>
    <row r="21" spans="2:13">
      <c r="B21" s="241" t="str">
        <f>VLOOKUP("2: Sämtliche Felder, die grau hinterlegt sind, können befüllt werden oder sind mit einer vordefinierten Auswahlliste hinterlegt.",Sprachindex!A:Z,$O$6,FALSE)</f>
        <v>2: Sämtliche Felder, die grau hinterlegt sind, können befüllt werden oder sind mit einer vordefinierten Auswahlliste hinterlegt.</v>
      </c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</row>
    <row r="22" spans="2:13">
      <c r="B22" s="244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6"/>
    </row>
    <row r="23" spans="2:13">
      <c r="B23" s="31"/>
      <c r="C23" s="23"/>
      <c r="M23" s="32"/>
    </row>
    <row r="24" spans="2:13"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5"/>
    </row>
    <row r="25" spans="2:13" ht="15" customHeight="1"/>
    <row r="26" spans="2:13">
      <c r="B26" s="28" t="str">
        <f>VLOOKUP("3: Sämtliche Optionsfelder können angewählt werden.",Sprachindex!A:Z,$O$6,FALSE)</f>
        <v>3: Sämtliche Optionsfelder können angewählt werden.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30"/>
    </row>
    <row r="27" spans="2:13">
      <c r="B27" s="31"/>
      <c r="M27" s="32"/>
    </row>
    <row r="28" spans="2:13"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5"/>
    </row>
    <row r="29" spans="2:13"/>
    <row r="30" spans="2:13">
      <c r="B30" s="28" t="str">
        <f>VLOOKUP("4: Eventualpositionen können hier gekennzeichnet werden.",Sprachindex!A:Z,$O$6,FALSE)</f>
        <v>4: Eventualpositionen können hier gekennzeichnet werden.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30"/>
    </row>
    <row r="31" spans="2:13">
      <c r="B31" s="31"/>
      <c r="M31" s="32"/>
    </row>
    <row r="32" spans="2:13">
      <c r="B32" s="31"/>
      <c r="M32" s="32"/>
    </row>
    <row r="33" spans="2:13">
      <c r="B33" s="31"/>
      <c r="M33" s="32"/>
    </row>
    <row r="34" spans="2:13"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5"/>
    </row>
    <row r="35" spans="2:13"/>
    <row r="36" spans="2:13">
      <c r="B36" s="28" t="str">
        <f>VLOOKUP("5: Am Tabellenende können Artikel, die nicht in der Liste aufgelistet sind, eingetragen werden..",Sprachindex!A:Z,$O$6,FALSE)</f>
        <v>5: Am Tabellenende können Artikel, die nicht in der Liste aufgelistet sind, eingetragen werden..</v>
      </c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30"/>
    </row>
    <row r="37" spans="2:13">
      <c r="B37" s="31"/>
      <c r="M37" s="32"/>
    </row>
    <row r="38" spans="2:13"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5"/>
    </row>
    <row r="39" spans="2:13"/>
    <row r="40" spans="2:13">
      <c r="B40" s="28" t="str">
        <f>VLOOKUP("6: Zusatzvermerke können hier eingefügt werden.",Sprachindex!A:Z,$O$6,FALSE)</f>
        <v>6: Zusatzvermerke können hier eingefügt werden.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0"/>
    </row>
    <row r="41" spans="2:13">
      <c r="B41" s="31"/>
      <c r="M41" s="32"/>
    </row>
    <row r="42" spans="2:13">
      <c r="B42" s="31"/>
      <c r="M42" s="32"/>
    </row>
    <row r="43" spans="2:13">
      <c r="B43" s="31"/>
      <c r="M43" s="32"/>
    </row>
    <row r="44" spans="2:13"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5"/>
    </row>
    <row r="45" spans="2:13"/>
    <row r="46" spans="2:13">
      <c r="B46" s="28" t="str">
        <f>VLOOKUP("7: Nicht benötigte Positionen können durch den Filter ausgeblendet werden.",Sprachindex!A:Z,$O$6,FALSE)</f>
        <v>7: Nicht benötigte Positionen können durch den Filter ausgeblendet werden.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30"/>
    </row>
    <row r="47" spans="2:13">
      <c r="B47" s="31"/>
      <c r="M47" s="32"/>
    </row>
    <row r="48" spans="2:13">
      <c r="B48" s="31"/>
      <c r="M48" s="32"/>
    </row>
    <row r="49" spans="2:13">
      <c r="B49" s="31"/>
      <c r="M49" s="32"/>
    </row>
    <row r="50" spans="2:13">
      <c r="B50" s="31"/>
      <c r="M50" s="32"/>
    </row>
    <row r="51" spans="2:13">
      <c r="B51" s="31"/>
      <c r="M51" s="32"/>
    </row>
    <row r="52" spans="2:13">
      <c r="B52" s="31"/>
      <c r="M52" s="32"/>
    </row>
    <row r="53" spans="2:13">
      <c r="B53" s="31"/>
      <c r="M53" s="32"/>
    </row>
    <row r="54" spans="2:13">
      <c r="B54" s="31"/>
      <c r="M54" s="32"/>
    </row>
    <row r="55" spans="2:13">
      <c r="B55" s="31"/>
      <c r="M55" s="32"/>
    </row>
    <row r="56" spans="2:13">
      <c r="B56" s="31"/>
      <c r="M56" s="32"/>
    </row>
    <row r="57" spans="2:13"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5"/>
    </row>
    <row r="58" spans="2:13"/>
    <row r="59" spans="2:13">
      <c r="B59" s="16" t="str">
        <f>VLOOKUP("Anwendungstechnik",Sprachindex!A:Z,Info!$O$6,FALSE)</f>
        <v>Anwendungstechnik</v>
      </c>
      <c r="C59" s="13"/>
      <c r="D59" s="13"/>
      <c r="E59" s="45"/>
      <c r="F59" s="45"/>
      <c r="G59" s="45"/>
      <c r="H59" s="45"/>
      <c r="I59" s="45"/>
      <c r="J59" s="45"/>
      <c r="K59" s="45"/>
      <c r="L59" s="17" t="str">
        <f>VLOOKUP("Stand:",Sprachindex!A:Z,Info!$O$6,FALSE)</f>
        <v>Stand:</v>
      </c>
      <c r="M59" s="18">
        <v>44546</v>
      </c>
    </row>
    <row r="60" spans="2:13"/>
  </sheetData>
  <sheetProtection selectLockedCells="1" selectUnlockedCells="1"/>
  <mergeCells count="2">
    <mergeCell ref="B21:M22"/>
    <mergeCell ref="E1:G1"/>
  </mergeCells>
  <pageMargins left="0.70866141732283472" right="0.70866141732283472" top="0.39370078740157483" bottom="0.78740157480314965" header="0.31496062992125984" footer="0.31496062992125984"/>
  <pageSetup paperSize="9" scale="8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2</xdr:row>
                    <xdr:rowOff>30480</xdr:rowOff>
                  </from>
                  <to>
                    <xdr:col>6</xdr:col>
                    <xdr:colOff>609600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6" name="Group Box 1">
              <controlPr defaultSize="0" print="0" autoFill="0" autoPict="0" altText="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Option Button 3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3</xdr:row>
                    <xdr:rowOff>30480</xdr:rowOff>
                  </from>
                  <to>
                    <xdr:col>6</xdr:col>
                    <xdr:colOff>609600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Option Button 4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4</xdr:row>
                    <xdr:rowOff>30480</xdr:rowOff>
                  </from>
                  <to>
                    <xdr:col>6</xdr:col>
                    <xdr:colOff>754380</xdr:colOff>
                    <xdr:row>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" name="Option Button 5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5</xdr:row>
                    <xdr:rowOff>30480</xdr:rowOff>
                  </from>
                  <to>
                    <xdr:col>6</xdr:col>
                    <xdr:colOff>609600</xdr:colOff>
                    <xdr:row>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" name="Option Button 6">
              <controlPr defaultSize="0" autoFill="0" autoLine="0" autoPict="0" altText="">
                <anchor moveWithCells="1">
                  <from>
                    <xdr:col>6</xdr:col>
                    <xdr:colOff>716280</xdr:colOff>
                    <xdr:row>6</xdr:row>
                    <xdr:rowOff>30480</xdr:rowOff>
                  </from>
                  <to>
                    <xdr:col>6</xdr:col>
                    <xdr:colOff>754380</xdr:colOff>
                    <xdr:row>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1" name="Option Button 7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7</xdr:row>
                    <xdr:rowOff>30480</xdr:rowOff>
                  </from>
                  <to>
                    <xdr:col>6</xdr:col>
                    <xdr:colOff>609600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2" name="Option Button 8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8</xdr:row>
                    <xdr:rowOff>30480</xdr:rowOff>
                  </from>
                  <to>
                    <xdr:col>6</xdr:col>
                    <xdr:colOff>609600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3" name="Option Button 9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9</xdr:row>
                    <xdr:rowOff>30480</xdr:rowOff>
                  </from>
                  <to>
                    <xdr:col>6</xdr:col>
                    <xdr:colOff>609600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Option Button 10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10</xdr:row>
                    <xdr:rowOff>30480</xdr:rowOff>
                  </from>
                  <to>
                    <xdr:col>6</xdr:col>
                    <xdr:colOff>609600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Option Button 11">
              <controlPr defaultSize="0" autoFill="0" autoLine="0" autoPict="0" altText="">
                <anchor moveWithCells="1">
                  <from>
                    <xdr:col>6</xdr:col>
                    <xdr:colOff>716280</xdr:colOff>
                    <xdr:row>11</xdr:row>
                    <xdr:rowOff>30480</xdr:rowOff>
                  </from>
                  <to>
                    <xdr:col>6</xdr:col>
                    <xdr:colOff>754380</xdr:colOff>
                    <xdr:row>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6" name="Option Button 12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12</xdr:row>
                    <xdr:rowOff>30480</xdr:rowOff>
                  </from>
                  <to>
                    <xdr:col>6</xdr:col>
                    <xdr:colOff>609600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Option Button 13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13</xdr:row>
                    <xdr:rowOff>30480</xdr:rowOff>
                  </from>
                  <to>
                    <xdr:col>6</xdr:col>
                    <xdr:colOff>609600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Option Button 14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14</xdr:row>
                    <xdr:rowOff>30480</xdr:rowOff>
                  </from>
                  <to>
                    <xdr:col>6</xdr:col>
                    <xdr:colOff>609600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Option Button 15">
              <controlPr defaultSize="0" autoFill="0" autoLine="0" autoPict="0" altText="">
                <anchor moveWithCells="1">
                  <from>
                    <xdr:col>6</xdr:col>
                    <xdr:colOff>647700</xdr:colOff>
                    <xdr:row>14</xdr:row>
                    <xdr:rowOff>60960</xdr:rowOff>
                  </from>
                  <to>
                    <xdr:col>6</xdr:col>
                    <xdr:colOff>693420</xdr:colOff>
                    <xdr:row>14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0" name="Option Button 19">
              <controlPr defaultSize="0" autoFill="0" autoLine="0" autoPict="0" altText="">
                <anchor moveWithCells="1">
                  <from>
                    <xdr:col>4</xdr:col>
                    <xdr:colOff>144780</xdr:colOff>
                    <xdr:row>1</xdr:row>
                    <xdr:rowOff>22860</xdr:rowOff>
                  </from>
                  <to>
                    <xdr:col>6</xdr:col>
                    <xdr:colOff>609600</xdr:colOff>
                    <xdr:row>1</xdr:row>
                    <xdr:rowOff>175260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2"/>
  <dimension ref="A1:EO129"/>
  <sheetViews>
    <sheetView showGridLines="0" showZeros="0" zoomScaleNormal="100" workbookViewId="0">
      <selection activeCell="K6" sqref="K6:M6"/>
    </sheetView>
  </sheetViews>
  <sheetFormatPr baseColWidth="10" defaultColWidth="0" defaultRowHeight="13.8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45" width="0" style="1" hidden="1" customWidth="1"/>
    <col min="146" max="16384" width="8.6640625" style="1" hidden="1"/>
  </cols>
  <sheetData>
    <row r="1" spans="1:17" ht="28.2">
      <c r="M1" s="2" t="str">
        <f>VLOOKUP("DACHRINNENSYSTEME",Sprachindex!A:Z,Info!$O$6,FALSE)</f>
        <v>DACHRINNENSYSTEME</v>
      </c>
    </row>
    <row r="2" spans="1:17" ht="28.2">
      <c r="D2" s="19"/>
      <c r="M2" s="2" t="str">
        <f>VLOOKUP("DACHENTWÄSSERUNG",Sprachindex!A:Z,Info!$O$6,FALSE)</f>
        <v>DACHENTWÄSSERUNG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ODER EMAIL:</v>
      </c>
      <c r="K5" s="254"/>
      <c r="L5" s="255"/>
      <c r="M5" s="256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Datum:</v>
      </c>
      <c r="K6" s="254"/>
      <c r="L6" s="255"/>
      <c r="M6" s="256"/>
      <c r="N6" s="119"/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Bestellnummer:</v>
      </c>
      <c r="K7" s="254"/>
      <c r="L7" s="255"/>
      <c r="M7" s="256"/>
      <c r="N7" s="119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I9" s="87"/>
      <c r="J9" s="85"/>
      <c r="K9" s="86"/>
      <c r="L9" s="85" t="str">
        <f>VLOOKUP("glatt",Sprachindex!A:Z,Info!$O$6,FALSE)</f>
        <v>glatt</v>
      </c>
      <c r="M9" s="86"/>
      <c r="N9" s="119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braun",Sprachindex!A:Z,Info!$O$6,FALSE)</f>
        <v>01 braun</v>
      </c>
      <c r="H16" s="86"/>
      <c r="I16" s="85" t="str">
        <f>VLOOKUP("07 hellgrau",Sprachindex!A:Z,Info!$O$6,FALSE)</f>
        <v>07 hellgrau</v>
      </c>
      <c r="J16" s="86"/>
      <c r="K16" s="85"/>
      <c r="L16" s="86"/>
      <c r="M16" s="86"/>
      <c r="N16" s="87"/>
    </row>
    <row r="17" spans="1:17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anthrazit",Sprachindex!A:Z,Info!$O$6,FALSE)</f>
        <v>02 anthrazit</v>
      </c>
      <c r="H17" s="86"/>
      <c r="I17" s="85" t="str">
        <f>VLOOKUP("08 zinkgrau",Sprachindex!A:Z,Info!$O$6,FALSE)</f>
        <v>08 zinkgrau</v>
      </c>
      <c r="J17" s="86"/>
      <c r="K17" s="127"/>
      <c r="L17" s="86"/>
      <c r="M17" s="86"/>
      <c r="N17" s="87"/>
      <c r="P17" s="10"/>
    </row>
    <row r="18" spans="1:17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VLOOKUP("04 ziegelrot",Sprachindex!A:Z,Info!$O$6,FALSE)</f>
        <v>04 ziegelrot</v>
      </c>
      <c r="H18" s="86"/>
      <c r="I18" s="85" t="str">
        <f>VLOOKUP("12 silbermetallic",Sprachindex!A:Z,Info!$O$6,FALSE)</f>
        <v>12 silbermetallic</v>
      </c>
      <c r="J18" s="86"/>
      <c r="K18" s="115"/>
      <c r="L18" s="86"/>
      <c r="M18" s="86"/>
      <c r="N18" s="114"/>
      <c r="P18" s="8"/>
      <c r="Q18" s="4"/>
    </row>
    <row r="19" spans="1:17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VLOOKUP("05 oxydrot",Sprachindex!A:Z,Info!$O$6,FALSE)</f>
        <v>05 oxydrot</v>
      </c>
      <c r="H19" s="86"/>
      <c r="I19" s="86" t="str">
        <f>VLOOKUP("13 naturblank",Sprachindex!A:Z,Info!$O$6,FALSE)</f>
        <v>13 naturblank</v>
      </c>
      <c r="J19" s="86"/>
      <c r="K19" s="86"/>
      <c r="L19" s="127"/>
      <c r="M19" s="86"/>
      <c r="N19" s="87"/>
      <c r="Q19" s="4"/>
    </row>
    <row r="20" spans="1:17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VLOOKUP("06 moosgrün",Sprachindex!A:Z,Info!$O$6,FALSE)</f>
        <v>06 moosgrün</v>
      </c>
      <c r="H20" s="86"/>
      <c r="J20" s="86"/>
      <c r="K20" s="86"/>
      <c r="L20" s="86"/>
      <c r="M20" s="86"/>
      <c r="N20" s="87"/>
      <c r="Q20" s="4"/>
    </row>
    <row r="21" spans="1:17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/>
      <c r="H21" s="86"/>
      <c r="J21" s="86"/>
      <c r="K21" s="86"/>
      <c r="L21" s="86"/>
      <c r="M21" s="86"/>
      <c r="N21" s="119"/>
      <c r="Q21" s="4"/>
    </row>
    <row r="22" spans="1:17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86"/>
      <c r="K22" s="86"/>
      <c r="L22" s="86"/>
      <c r="M22" s="86"/>
      <c r="N22" s="87"/>
      <c r="Q22" s="4"/>
    </row>
    <row r="23" spans="1:17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86"/>
      <c r="H23" s="86"/>
      <c r="I23" s="114"/>
      <c r="J23" s="86"/>
      <c r="K23" s="86"/>
      <c r="L23" s="86"/>
      <c r="M23" s="86"/>
      <c r="N23" s="87"/>
      <c r="Q23" s="4"/>
    </row>
    <row r="24" spans="1:17" ht="15" customHeight="1">
      <c r="B24" s="283" t="str">
        <f>VLOOKUP("Beschreibung",Sprachindex!A:Z,Info!$O$6,FALSE)</f>
        <v>Beschreibung</v>
      </c>
      <c r="C24" s="254"/>
      <c r="D24" s="255"/>
      <c r="E24" s="256"/>
      <c r="F24" s="86"/>
      <c r="G24" s="113" t="str">
        <f>VLOOKUP("Rinnendimension:",Sprachindex!A:Z,Info!$O$6,FALSE)</f>
        <v>Rinnendimension:</v>
      </c>
      <c r="H24" s="86"/>
      <c r="I24" s="114"/>
      <c r="J24" s="113" t="str">
        <f>VLOOKUP("Ablaufdimension:",Sprachindex!A:Z,Info!$O$6,FALSE)</f>
        <v>Ablaufdimension:</v>
      </c>
      <c r="K24" s="86"/>
      <c r="L24" s="86"/>
      <c r="M24" s="86"/>
      <c r="N24" s="119"/>
      <c r="Q24" s="4"/>
    </row>
    <row r="25" spans="1:17" ht="15" customHeight="1">
      <c r="B25" s="283"/>
      <c r="C25" s="254"/>
      <c r="D25" s="255"/>
      <c r="E25" s="256"/>
      <c r="F25" s="86"/>
      <c r="G25" s="85">
        <f>VLOOKUP(250,Sprachindex!A:Z,Info!$O$6,FALSE)</f>
        <v>250</v>
      </c>
      <c r="H25" s="86"/>
      <c r="I25" s="86"/>
      <c r="J25" s="86" t="str">
        <f>VLOOKUP("60 ⌀",Sprachindex!A:Z,Info!$O$6,FALSE)</f>
        <v>60 ⌀</v>
      </c>
      <c r="K25" s="86"/>
      <c r="L25" s="86"/>
      <c r="M25" s="86"/>
      <c r="N25" s="119"/>
      <c r="Q25" s="4"/>
    </row>
    <row r="26" spans="1:17" ht="15" customHeight="1">
      <c r="B26" s="283"/>
      <c r="C26" s="254"/>
      <c r="D26" s="255"/>
      <c r="E26" s="256"/>
      <c r="F26" s="86"/>
      <c r="G26" s="85">
        <f>VLOOKUP(280,Sprachindex!A:Z,Info!$O$6,FALSE)</f>
        <v>280</v>
      </c>
      <c r="H26" s="86"/>
      <c r="I26" s="86"/>
      <c r="J26" s="86" t="str">
        <f>VLOOKUP("80 ⌀",Sprachindex!A:Z,Info!$O$6,FALSE)</f>
        <v>80 ⌀</v>
      </c>
      <c r="K26" s="86"/>
      <c r="L26" s="86"/>
      <c r="M26" s="86"/>
      <c r="N26" s="87"/>
      <c r="Q26" s="4"/>
    </row>
    <row r="27" spans="1:17" ht="15" customHeight="1">
      <c r="B27" s="283"/>
      <c r="C27" s="254"/>
      <c r="D27" s="255"/>
      <c r="E27" s="256"/>
      <c r="F27" s="86"/>
      <c r="G27" s="85">
        <f>VLOOKUP(333,Sprachindex!A:Z,Info!$O$6,FALSE)</f>
        <v>333</v>
      </c>
      <c r="H27" s="86"/>
      <c r="I27" s="86"/>
      <c r="J27" s="86" t="str">
        <f>VLOOKUP("100 ⌀",Sprachindex!A:Z,Info!$O$6,FALSE)</f>
        <v>100 ⌀</v>
      </c>
      <c r="K27" s="86"/>
      <c r="L27" s="86"/>
      <c r="M27" s="86"/>
      <c r="N27" s="87"/>
      <c r="Q27" s="4"/>
    </row>
    <row r="28" spans="1:17" ht="15" customHeight="1">
      <c r="A28" s="86"/>
      <c r="B28" s="90"/>
      <c r="C28" s="86"/>
      <c r="D28" s="86"/>
      <c r="E28" s="86"/>
      <c r="F28" s="86"/>
      <c r="G28" s="85">
        <f>VLOOKUP(400,Sprachindex!A:Z,Info!$O$6,FALSE)</f>
        <v>400</v>
      </c>
      <c r="H28" s="86"/>
      <c r="I28" s="86"/>
      <c r="J28" s="86" t="str">
        <f>VLOOKUP("120 ⌀",Sprachindex!A:Z,Info!$O$6,FALSE)</f>
        <v>120 ⌀</v>
      </c>
      <c r="K28" s="86"/>
      <c r="L28" s="86"/>
      <c r="M28" s="86"/>
      <c r="N28" s="87"/>
      <c r="Q28" s="4"/>
    </row>
    <row r="29" spans="1:17" ht="15" customHeight="1">
      <c r="A29" s="106" t="str">
        <f>VLOOKUP("techn. Ausarbeitung PREFA:",Sprachindex!A:Z,Info!$O$6,FALSE)</f>
        <v>techn. Ausarbeitung PREFA:</v>
      </c>
      <c r="B29" s="90"/>
      <c r="C29" s="86"/>
      <c r="D29" s="86"/>
      <c r="E29" s="86"/>
      <c r="F29" s="86"/>
      <c r="G29" s="85">
        <f>VLOOKUP(500,Sprachindex!A:Z,Info!$O$6,FALSE)</f>
        <v>500</v>
      </c>
      <c r="H29" s="86"/>
      <c r="I29" s="86"/>
      <c r="J29" s="86" t="str">
        <f>VLOOKUP("150 ⌀",Sprachindex!A:Z,Info!$O$6,FALSE)</f>
        <v>150 ⌀</v>
      </c>
      <c r="K29" s="86"/>
      <c r="L29" s="86"/>
      <c r="M29" s="86"/>
      <c r="N29" s="87"/>
      <c r="Q29" s="4"/>
    </row>
    <row r="30" spans="1:17" ht="15" customHeight="1">
      <c r="A30" s="106"/>
      <c r="B30" s="90" t="str">
        <f>VLOOKUP("Bearbeiter:",Sprachindex!A:Z,Info!$O$6,FALSE)</f>
        <v>Bearbeiter:</v>
      </c>
      <c r="C30" s="254"/>
      <c r="D30" s="255"/>
      <c r="E30" s="256"/>
      <c r="F30" s="86"/>
      <c r="G30" s="85"/>
      <c r="H30" s="86"/>
      <c r="I30" s="86"/>
      <c r="J30" s="86"/>
      <c r="K30" s="86"/>
      <c r="L30" s="86"/>
      <c r="M30" s="86"/>
      <c r="N30" s="87"/>
      <c r="Q30" s="4"/>
    </row>
    <row r="31" spans="1:17" s="5" customFormat="1" ht="15" customHeight="1">
      <c r="A31" s="106"/>
      <c r="B31" s="90" t="str">
        <f>VLOOKUP("Telefon:",Sprachindex!A:Z,Info!$O$6,FALSE)</f>
        <v>Telefon:</v>
      </c>
      <c r="C31" s="254"/>
      <c r="D31" s="255"/>
      <c r="E31" s="256"/>
      <c r="F31" s="86"/>
      <c r="L31" s="86"/>
      <c r="M31" s="86"/>
      <c r="N31" s="87"/>
      <c r="O31" s="56"/>
      <c r="P31" s="56"/>
      <c r="Q31" s="14"/>
    </row>
    <row r="32" spans="1:17" s="5" customFormat="1" ht="15" customHeight="1">
      <c r="A32" s="106"/>
      <c r="B32" s="90" t="str">
        <f>VLOOKUP("eMail:",Sprachindex!A:Z,Info!$O$6,FALSE)</f>
        <v>eMail:</v>
      </c>
      <c r="C32" s="254"/>
      <c r="D32" s="255"/>
      <c r="E32" s="256"/>
      <c r="F32" s="86"/>
      <c r="L32" s="86"/>
      <c r="M32" s="86"/>
      <c r="N32" s="87"/>
      <c r="O32" s="56"/>
      <c r="P32" s="56"/>
      <c r="Q32" s="14"/>
    </row>
    <row r="33" spans="1:145" ht="15" customHeight="1">
      <c r="A33" s="86"/>
      <c r="B33" s="90"/>
      <c r="C33" s="86"/>
      <c r="D33" s="86"/>
      <c r="E33" s="86"/>
      <c r="F33" s="86"/>
      <c r="G33" s="85"/>
      <c r="H33" s="86"/>
      <c r="I33" s="86"/>
      <c r="J33" s="86"/>
      <c r="K33" s="86"/>
      <c r="L33" s="86"/>
      <c r="M33" s="86"/>
      <c r="N33" s="87"/>
      <c r="Q33" s="4"/>
    </row>
    <row r="34" spans="1:145" ht="15" customHeight="1" thickBot="1">
      <c r="A34" s="120" t="str">
        <f>VLOOKUP("Filter:",Sprachindex!A:Z,Info!$O$6,FALSE)</f>
        <v>Filter:</v>
      </c>
      <c r="B34" s="284"/>
      <c r="C34" s="284"/>
      <c r="D34" s="284"/>
      <c r="E34" s="284"/>
      <c r="F34" s="86"/>
      <c r="G34" s="86"/>
      <c r="H34" s="86"/>
      <c r="I34" s="86"/>
      <c r="J34" s="86"/>
      <c r="K34" s="86"/>
      <c r="L34" s="86"/>
      <c r="M34" s="86"/>
      <c r="N34" s="87"/>
      <c r="P34" s="282" t="s">
        <v>24</v>
      </c>
      <c r="Q34" s="282"/>
      <c r="R34" s="282" t="s">
        <v>369</v>
      </c>
      <c r="S34" s="282"/>
    </row>
    <row r="35" spans="1:145" ht="35.1" customHeight="1" thickBot="1">
      <c r="A35" s="219" t="str">
        <f>VLOOKUP("Menge",Sprachindex!A:Z,Info!$O$6,FALSE)</f>
        <v>Menge</v>
      </c>
      <c r="B35" s="141" t="str">
        <f>VLOOKUP("Einheit",Sprachindex!A:Z,Info!$O$6,FALSE)</f>
        <v>Einheit</v>
      </c>
      <c r="C35" s="141" t="str">
        <f>VLOOKUP("Abbildung",Sprachindex!A:Z,Info!$O$6,FALSE)</f>
        <v>Abbildung</v>
      </c>
      <c r="D35" s="141" t="str">
        <f>VLOOKUP("Artikel Nr.",Sprachindex!A:Z,Info!$O$6,FALSE)</f>
        <v>Artikel Nr.</v>
      </c>
      <c r="E35" s="285" t="str">
        <f>VLOOKUP("Bezeichnung",Sprachindex!A:Z,Info!$O$6,FALSE)</f>
        <v>Bezeichnung</v>
      </c>
      <c r="F35" s="286"/>
      <c r="G35" s="286"/>
      <c r="H35" s="286"/>
      <c r="I35" s="286"/>
      <c r="J35" s="286"/>
      <c r="K35" s="287"/>
      <c r="L35" s="141" t="str">
        <f>VLOOKUP("Total",Sprachindex!A:Z,Info!$O$6,FALSE)</f>
        <v>Total</v>
      </c>
      <c r="M35" s="91" t="str">
        <f>VLOOKUP("Eventual",Sprachindex!A:Z,Info!$O$6,FALSE)</f>
        <v>Eventual</v>
      </c>
      <c r="N35" s="87"/>
      <c r="O35" s="1"/>
      <c r="P35" s="209" t="s">
        <v>27</v>
      </c>
      <c r="Q35" s="209" t="s">
        <v>28</v>
      </c>
      <c r="R35" s="209" t="s">
        <v>27</v>
      </c>
      <c r="S35" s="209" t="s">
        <v>28</v>
      </c>
      <c r="T35" s="49" t="s">
        <v>48</v>
      </c>
      <c r="U35" s="49" t="s">
        <v>79</v>
      </c>
      <c r="V35" s="49" t="s">
        <v>74</v>
      </c>
      <c r="W35" s="49" t="s">
        <v>77</v>
      </c>
      <c r="X35" s="49" t="s">
        <v>75</v>
      </c>
      <c r="Y35" s="237" t="s">
        <v>84</v>
      </c>
      <c r="Z35" s="49" t="s">
        <v>78</v>
      </c>
      <c r="AA35" s="49" t="s">
        <v>82</v>
      </c>
      <c r="AB35" s="49" t="s">
        <v>83</v>
      </c>
      <c r="AC35" s="49" t="s">
        <v>370</v>
      </c>
      <c r="AD35" s="237" t="s">
        <v>81</v>
      </c>
      <c r="AE35" s="49" t="s">
        <v>76</v>
      </c>
      <c r="AF35" s="49"/>
      <c r="AG35" s="74"/>
      <c r="AH35" s="49" t="s">
        <v>48</v>
      </c>
      <c r="AI35" s="49" t="s">
        <v>79</v>
      </c>
      <c r="AJ35" s="49" t="s">
        <v>74</v>
      </c>
      <c r="AK35" s="49" t="s">
        <v>77</v>
      </c>
      <c r="AL35" s="49" t="s">
        <v>75</v>
      </c>
      <c r="AM35" s="49" t="s">
        <v>84</v>
      </c>
      <c r="AN35" s="49" t="s">
        <v>78</v>
      </c>
      <c r="AO35" s="49" t="s">
        <v>82</v>
      </c>
      <c r="AP35" s="49" t="s">
        <v>83</v>
      </c>
      <c r="AQ35" s="49" t="s">
        <v>370</v>
      </c>
      <c r="AR35" s="49" t="s">
        <v>81</v>
      </c>
      <c r="AS35" s="49" t="s">
        <v>76</v>
      </c>
      <c r="AT35" s="49"/>
      <c r="AU35" s="74"/>
      <c r="AV35" s="49" t="s">
        <v>48</v>
      </c>
      <c r="AW35" s="49" t="s">
        <v>79</v>
      </c>
      <c r="AX35" s="49" t="s">
        <v>74</v>
      </c>
      <c r="AY35" s="49" t="s">
        <v>77</v>
      </c>
      <c r="AZ35" s="49" t="s">
        <v>75</v>
      </c>
      <c r="BA35" s="49" t="s">
        <v>84</v>
      </c>
      <c r="BB35" s="49" t="s">
        <v>78</v>
      </c>
      <c r="BC35" s="49" t="s">
        <v>82</v>
      </c>
      <c r="BD35" s="49" t="s">
        <v>83</v>
      </c>
      <c r="BE35" s="49" t="s">
        <v>370</v>
      </c>
      <c r="BF35" s="49" t="s">
        <v>81</v>
      </c>
      <c r="BG35" s="49" t="s">
        <v>76</v>
      </c>
      <c r="BH35" s="49"/>
      <c r="BI35" s="74"/>
      <c r="BJ35" s="49" t="s">
        <v>48</v>
      </c>
      <c r="BK35" s="49" t="s">
        <v>79</v>
      </c>
      <c r="BL35" s="49" t="s">
        <v>74</v>
      </c>
      <c r="BM35" s="49" t="s">
        <v>77</v>
      </c>
      <c r="BN35" s="49" t="s">
        <v>75</v>
      </c>
      <c r="BO35" s="49" t="s">
        <v>84</v>
      </c>
      <c r="BP35" s="49" t="s">
        <v>78</v>
      </c>
      <c r="BQ35" s="49" t="s">
        <v>82</v>
      </c>
      <c r="BR35" s="49" t="s">
        <v>83</v>
      </c>
      <c r="BS35" s="49" t="s">
        <v>370</v>
      </c>
      <c r="BT35" s="49" t="s">
        <v>81</v>
      </c>
      <c r="BU35" s="49" t="s">
        <v>76</v>
      </c>
      <c r="BV35" s="49"/>
      <c r="BW35" s="74"/>
      <c r="BX35" s="49" t="s">
        <v>48</v>
      </c>
      <c r="BY35" s="49" t="s">
        <v>79</v>
      </c>
      <c r="BZ35" s="49" t="s">
        <v>74</v>
      </c>
      <c r="CA35" s="49" t="s">
        <v>77</v>
      </c>
      <c r="CB35" s="49" t="s">
        <v>75</v>
      </c>
      <c r="CC35" s="49" t="s">
        <v>84</v>
      </c>
      <c r="CD35" s="49" t="s">
        <v>78</v>
      </c>
      <c r="CE35" s="49" t="s">
        <v>82</v>
      </c>
      <c r="CF35" s="49" t="s">
        <v>83</v>
      </c>
      <c r="CG35" s="49" t="s">
        <v>370</v>
      </c>
      <c r="CH35" s="49" t="s">
        <v>81</v>
      </c>
      <c r="CI35" s="49" t="s">
        <v>76</v>
      </c>
      <c r="CJ35" s="49"/>
      <c r="CK35" s="74"/>
      <c r="CL35" s="49" t="s">
        <v>48</v>
      </c>
      <c r="CM35" s="49" t="s">
        <v>79</v>
      </c>
      <c r="CN35" s="49" t="s">
        <v>74</v>
      </c>
      <c r="CO35" s="49" t="s">
        <v>77</v>
      </c>
      <c r="CP35" s="49" t="s">
        <v>75</v>
      </c>
      <c r="CQ35" s="49" t="s">
        <v>84</v>
      </c>
      <c r="CR35" s="49" t="s">
        <v>78</v>
      </c>
      <c r="CS35" s="49" t="s">
        <v>82</v>
      </c>
      <c r="CT35" s="49" t="s">
        <v>83</v>
      </c>
      <c r="CU35" s="49" t="s">
        <v>370</v>
      </c>
      <c r="CV35" s="49" t="s">
        <v>81</v>
      </c>
      <c r="CW35" s="49" t="s">
        <v>76</v>
      </c>
      <c r="CX35" s="49"/>
      <c r="CY35" s="74"/>
      <c r="CZ35" s="49" t="s">
        <v>48</v>
      </c>
      <c r="DA35" s="49" t="s">
        <v>79</v>
      </c>
      <c r="DB35" s="49" t="s">
        <v>74</v>
      </c>
      <c r="DC35" s="49" t="s">
        <v>77</v>
      </c>
      <c r="DD35" s="49" t="s">
        <v>75</v>
      </c>
      <c r="DE35" s="49" t="s">
        <v>84</v>
      </c>
      <c r="DF35" s="49" t="s">
        <v>78</v>
      </c>
      <c r="DG35" s="49" t="s">
        <v>82</v>
      </c>
      <c r="DH35" s="49" t="s">
        <v>83</v>
      </c>
      <c r="DI35" s="49" t="s">
        <v>370</v>
      </c>
      <c r="DJ35" s="49" t="s">
        <v>81</v>
      </c>
      <c r="DK35" s="49" t="s">
        <v>76</v>
      </c>
      <c r="DL35" s="49"/>
      <c r="DM35" s="74"/>
      <c r="DN35" s="49" t="s">
        <v>48</v>
      </c>
      <c r="DO35" s="49" t="s">
        <v>79</v>
      </c>
      <c r="DP35" s="49" t="s">
        <v>74</v>
      </c>
      <c r="DQ35" s="49" t="s">
        <v>77</v>
      </c>
      <c r="DR35" s="49" t="s">
        <v>75</v>
      </c>
      <c r="DS35" s="49" t="s">
        <v>84</v>
      </c>
      <c r="DT35" s="49" t="s">
        <v>78</v>
      </c>
      <c r="DU35" s="49" t="s">
        <v>82</v>
      </c>
      <c r="DV35" s="49" t="s">
        <v>83</v>
      </c>
      <c r="DW35" s="49" t="s">
        <v>370</v>
      </c>
      <c r="DX35" s="49" t="s">
        <v>81</v>
      </c>
      <c r="DY35" s="49" t="s">
        <v>76</v>
      </c>
      <c r="DZ35" s="49"/>
      <c r="EA35" s="74"/>
      <c r="EB35" s="49" t="s">
        <v>48</v>
      </c>
      <c r="EC35" s="49" t="s">
        <v>79</v>
      </c>
      <c r="ED35" s="49" t="s">
        <v>74</v>
      </c>
      <c r="EE35" s="49" t="s">
        <v>77</v>
      </c>
      <c r="EF35" s="49" t="s">
        <v>75</v>
      </c>
      <c r="EG35" s="49" t="s">
        <v>84</v>
      </c>
      <c r="EH35" s="49" t="s">
        <v>78</v>
      </c>
      <c r="EI35" s="49" t="s">
        <v>82</v>
      </c>
      <c r="EJ35" s="49" t="s">
        <v>83</v>
      </c>
      <c r="EK35" s="49" t="s">
        <v>370</v>
      </c>
      <c r="EL35" s="49" t="s">
        <v>81</v>
      </c>
      <c r="EM35" s="49" t="s">
        <v>76</v>
      </c>
      <c r="EN35" s="74"/>
      <c r="EO35" s="74"/>
    </row>
    <row r="36" spans="1:145" ht="31.5" customHeight="1">
      <c r="A36" s="131"/>
      <c r="B36" s="96" t="str">
        <f>VLOOKUP("lfm",Sprachindex!A:Z,Info!$O$6,FALSE)</f>
        <v>lfm</v>
      </c>
      <c r="C36" s="129"/>
      <c r="D36" s="95" t="str">
        <f>IF($N$24=1,AF36,IF($N$24=2,AT36,IF($N$24=3,BH36,IF($N$24=4,BV36,IF($N$24=5,"","")))))</f>
        <v/>
      </c>
      <c r="E36" s="288" t="str">
        <f>VLOOKUP("Dachrinne 3 m",Sprachindex!A:Z,Info!$O$6,FALSE)</f>
        <v>Dachrinne 3 m</v>
      </c>
      <c r="F36" s="289"/>
      <c r="G36" s="289"/>
      <c r="H36" s="289"/>
      <c r="I36" s="310"/>
      <c r="J36" s="307" t="str">
        <f>Formeln!B160</f>
        <v/>
      </c>
      <c r="K36" s="308"/>
      <c r="L36" s="96" t="str">
        <f>IF(OR(A36="",R36="",S36="")," ",IF($N$11=1,$P36,IF($N$11=2,Q36,0)))</f>
        <v xml:space="preserve"> </v>
      </c>
      <c r="M36" s="130"/>
      <c r="N36" s="87"/>
      <c r="O36" s="1"/>
      <c r="P36" s="207" t="e">
        <f>ROUNDUP($A36/$R36,0)*$R36 &amp; "  " &amp; Formeln!$A$112 &amp; "                     " &amp; " (" &amp; ROUNDUP($A36/$R36,0)*$R36/$S36 &amp; " " &amp; Formeln!$A$111 &amp; ")"</f>
        <v>#VALUE!</v>
      </c>
      <c r="Q36" s="207" t="str">
        <f>ROUNDUP($A36/$S36,0)*$S36 &amp; "  " &amp; Formeln!$A$112 &amp; "                     " &amp; " (" &amp; ROUNDUP($A36/$S36,0)*$S36/$S36 &amp; " " &amp; Formeln!$A$111 &amp; ")"</f>
        <v>0  lfm                      (0 STK)</v>
      </c>
      <c r="R36" s="207" t="str">
        <f>IF($N$24="","",IF($N$24=5,"",15))</f>
        <v/>
      </c>
      <c r="S36" s="207">
        <v>3</v>
      </c>
      <c r="T36" s="64">
        <v>572213</v>
      </c>
      <c r="U36" s="64">
        <v>572219</v>
      </c>
      <c r="V36" s="64">
        <v>572212</v>
      </c>
      <c r="W36" s="64">
        <v>572241</v>
      </c>
      <c r="X36" s="64">
        <v>572216</v>
      </c>
      <c r="Y36" s="238">
        <v>572217</v>
      </c>
      <c r="Z36" s="64">
        <v>572223</v>
      </c>
      <c r="AA36" s="64">
        <v>572240</v>
      </c>
      <c r="AB36" s="64">
        <v>572249</v>
      </c>
      <c r="AC36" s="64">
        <v>572254</v>
      </c>
      <c r="AD36" s="238" t="s">
        <v>371</v>
      </c>
      <c r="AE36" s="71">
        <v>572234</v>
      </c>
      <c r="AF36" s="74">
        <f t="shared" ref="AF36:AF41" si="0">IF($N$21=1,V36,IF($N$21=2,X36,IF($N$21=3,W36,IF($N$21=4,Z36,IF($N$21=5,AA36,IF($N$21=6,U36,IF($N$21=7,AB36,IF($N$21=8,AC36,IF($N$21=9,T36,0)))))))))</f>
        <v>0</v>
      </c>
      <c r="AG36" s="74" t="s">
        <v>372</v>
      </c>
      <c r="AH36" s="64">
        <v>572206</v>
      </c>
      <c r="AI36" s="64">
        <v>572203</v>
      </c>
      <c r="AJ36" s="64">
        <v>572208</v>
      </c>
      <c r="AK36" s="64">
        <v>572215</v>
      </c>
      <c r="AL36" s="64">
        <v>572220</v>
      </c>
      <c r="AM36" s="64">
        <v>572214</v>
      </c>
      <c r="AN36" s="64">
        <v>572224</v>
      </c>
      <c r="AO36" s="64">
        <v>572227</v>
      </c>
      <c r="AP36" s="64">
        <v>572229</v>
      </c>
      <c r="AQ36" s="64">
        <v>572255</v>
      </c>
      <c r="AR36" s="64">
        <v>572252</v>
      </c>
      <c r="AS36" s="71">
        <v>572235</v>
      </c>
      <c r="AT36" s="74">
        <f>IF($N$21=1,AJ36,IF($N$21=2,AL36,IF($N$21=3,AK36,IF($N$21=4,AN36,IF($N$21=5,AO36,IF($N$21=6,AI36,IF($N$21=7,AP36,IF($N$21=8,AQ36,IF($N$21=9,AH36,0)))))))))</f>
        <v>0</v>
      </c>
      <c r="AU36" s="74" t="s">
        <v>373</v>
      </c>
      <c r="AV36" s="64">
        <v>572201</v>
      </c>
      <c r="AW36" s="64">
        <v>572202</v>
      </c>
      <c r="AX36" s="64">
        <v>572207</v>
      </c>
      <c r="AY36" s="64">
        <v>572211</v>
      </c>
      <c r="AZ36" s="64">
        <v>572218</v>
      </c>
      <c r="BA36" s="64">
        <v>572221</v>
      </c>
      <c r="BB36" s="64">
        <v>572225</v>
      </c>
      <c r="BC36" s="64">
        <v>572228</v>
      </c>
      <c r="BD36" s="64">
        <v>572230</v>
      </c>
      <c r="BE36" s="64">
        <v>572250</v>
      </c>
      <c r="BF36" s="64">
        <v>572253</v>
      </c>
      <c r="BG36" s="71">
        <v>572236</v>
      </c>
      <c r="BH36" s="74">
        <f>IF($N$21=1,AX36,IF($N$21=2,AZ36,IF($N$21=3,AY36,IF($N$21=4,BB36,IF($N$21=5,BC36,IF($N$21=6,AW36,IF($N$21=7,BD36,IF($N$21=8,BE36,IF($N$21=9,AV36,0)))))))))</f>
        <v>0</v>
      </c>
      <c r="BI36" s="74" t="s">
        <v>374</v>
      </c>
      <c r="BJ36" s="64">
        <v>572205</v>
      </c>
      <c r="BK36" s="71">
        <v>572204</v>
      </c>
      <c r="BL36" s="64">
        <v>572209</v>
      </c>
      <c r="BM36" s="71"/>
      <c r="BN36" s="64">
        <v>572210</v>
      </c>
      <c r="BO36" s="71">
        <v>572262</v>
      </c>
      <c r="BP36" s="71"/>
      <c r="BQ36" s="71">
        <v>572260</v>
      </c>
      <c r="BR36" s="71"/>
      <c r="BS36" s="71">
        <v>572263</v>
      </c>
      <c r="BT36" s="71">
        <v>572261</v>
      </c>
      <c r="BU36" s="71"/>
      <c r="BV36" s="74">
        <f>IF($N$21=1,BL36,IF($N$21=2,BN36,IF($N$21=3,BM36,IF($N$21=4,BP36,IF($N$21=5,BQ36,IF($N$21=6,BK36,IF($N$21=7,BR36,IF($N$21=8,BS36,IF($N$21=9,BJ36,0)))))))))</f>
        <v>0</v>
      </c>
      <c r="BW36" s="74" t="s">
        <v>375</v>
      </c>
      <c r="BX36" s="64">
        <v>572013</v>
      </c>
      <c r="BY36" s="64">
        <v>572019</v>
      </c>
      <c r="BZ36" s="64">
        <v>572012</v>
      </c>
      <c r="CA36" s="64">
        <v>572041</v>
      </c>
      <c r="CB36" s="64">
        <v>572016</v>
      </c>
      <c r="CC36" s="64">
        <v>572017</v>
      </c>
      <c r="CD36" s="64">
        <v>572023</v>
      </c>
      <c r="CE36" s="64">
        <v>572040</v>
      </c>
      <c r="CF36" s="64">
        <v>572049</v>
      </c>
      <c r="CG36" s="64">
        <v>572055</v>
      </c>
      <c r="CH36" s="64">
        <v>572052</v>
      </c>
      <c r="CI36" s="71">
        <v>572057</v>
      </c>
      <c r="CJ36" s="74">
        <f>IF($N$21=1,BZ36,IF($N$21=2,CB36,IF($N$21=3,CA36,IF($N$21=4,CD36,IF($N$21=5,CE36,IF($N$21=6,BY36,IF($N$21=7,CF36,IF($N$21=8,CG36,IF($N$21=9,BX36,0)))))))))</f>
        <v>0</v>
      </c>
      <c r="CK36" s="74" t="s">
        <v>376</v>
      </c>
      <c r="CL36" s="64">
        <v>572006</v>
      </c>
      <c r="CM36" s="64">
        <v>572003</v>
      </c>
      <c r="CN36" s="64">
        <v>572008</v>
      </c>
      <c r="CO36" s="64">
        <v>572015</v>
      </c>
      <c r="CP36" s="64">
        <v>572020</v>
      </c>
      <c r="CQ36" s="64">
        <v>572014</v>
      </c>
      <c r="CR36" s="64">
        <v>572024</v>
      </c>
      <c r="CS36" s="64">
        <v>572027</v>
      </c>
      <c r="CT36" s="64">
        <v>572050</v>
      </c>
      <c r="CU36" s="64">
        <v>572056</v>
      </c>
      <c r="CV36" s="64">
        <v>572053</v>
      </c>
      <c r="CW36" s="71">
        <v>572058</v>
      </c>
      <c r="CX36" s="74">
        <f>IF($N$21=1,CN36,IF($N$21=2,CP36,IF($N$21=3,CO36,IF($N$21=4,CR36,IF($N$21=5,CS36,IF($N$21=6,CM36,IF($N$21=7,CT36,IF($N$21=8,CU36,IF($N$21=9,CL36,0)))))))))</f>
        <v>0</v>
      </c>
      <c r="CY36" s="74" t="s">
        <v>377</v>
      </c>
      <c r="CZ36" s="64">
        <v>572001</v>
      </c>
      <c r="DA36" s="64">
        <v>572002</v>
      </c>
      <c r="DB36" s="64">
        <v>572007</v>
      </c>
      <c r="DC36" s="64">
        <v>572011</v>
      </c>
      <c r="DD36" s="64">
        <v>572018</v>
      </c>
      <c r="DE36" s="64">
        <v>572021</v>
      </c>
      <c r="DF36" s="64">
        <v>572025</v>
      </c>
      <c r="DG36" s="64">
        <v>572028</v>
      </c>
      <c r="DH36" s="64">
        <v>572030</v>
      </c>
      <c r="DI36" s="64">
        <v>572051</v>
      </c>
      <c r="DJ36" s="64">
        <v>572054</v>
      </c>
      <c r="DK36" s="71">
        <v>572059</v>
      </c>
      <c r="DL36" s="74">
        <f>IF($N$21=1,DB36,IF($N$21=2,DD36,IF($N$21=3,DC36,IF($N$21=4,DF36,IF($N$21=5,DG36,IF($N$21=6,DA36,IF($N$21=7,DH36,IF($N$21=8,DI36,IF($N$21=9,CZ36,0)))))))))</f>
        <v>0</v>
      </c>
      <c r="DM36" s="74" t="s">
        <v>378</v>
      </c>
      <c r="DN36" s="64">
        <v>572005</v>
      </c>
      <c r="DO36" s="64">
        <v>572004</v>
      </c>
      <c r="DP36" s="64">
        <v>572009</v>
      </c>
      <c r="DQ36" s="71"/>
      <c r="DR36" s="64">
        <v>572010</v>
      </c>
      <c r="DS36" s="71">
        <v>572062</v>
      </c>
      <c r="DT36" s="71"/>
      <c r="DU36" s="71">
        <v>572060</v>
      </c>
      <c r="DV36" s="71"/>
      <c r="DW36" s="71">
        <v>572063</v>
      </c>
      <c r="DX36" s="71">
        <v>572061</v>
      </c>
      <c r="DY36" s="71"/>
      <c r="DZ36" s="74">
        <f>IF($N$21=1,DP36,IF($N$21=2,DR36,IF($N$21=3,DQ36,IF($N$21=4,DT36,IF($N$21=5,DU36,IF($N$21=6,DO36,IF($N$21=7,DV36,IF($N$21=8,DW36,IF($N$21=9,DN36,0)))))))))</f>
        <v>0</v>
      </c>
      <c r="EA36" s="74" t="s">
        <v>379</v>
      </c>
      <c r="EN36" s="74"/>
      <c r="EO36" s="74"/>
    </row>
    <row r="37" spans="1:145" ht="31.5" customHeight="1">
      <c r="A37" s="131"/>
      <c r="B37" s="96" t="str">
        <f>VLOOKUP("lfm",Sprachindex!A:Z,Info!$O$6,FALSE)</f>
        <v>lfm</v>
      </c>
      <c r="C37" s="129"/>
      <c r="D37" s="95" t="str">
        <f>IF($N$24=1,AF37,IF($N$24=2,AT37,IF($N$24=3,BH37,IF($N$24=4,BV37,IF($N$24=5,"","")))))</f>
        <v/>
      </c>
      <c r="E37" s="311" t="str">
        <f>VLOOKUP("Dachrinne 6 m",Sprachindex!A:Z,Info!$O$6,FALSE)</f>
        <v>Dachrinne 6 m</v>
      </c>
      <c r="F37" s="312"/>
      <c r="G37" s="312"/>
      <c r="H37" s="312"/>
      <c r="I37" s="313"/>
      <c r="J37" s="307" t="str">
        <f>Formeln!B161</f>
        <v/>
      </c>
      <c r="K37" s="308"/>
      <c r="L37" s="96" t="str">
        <f>IF(OR(A37="",R37="",S37="")," ",IF($N$11=1,$P37,IF($N$11=2,Q37,0)))</f>
        <v xml:space="preserve"> </v>
      </c>
      <c r="M37" s="130"/>
      <c r="N37" s="87"/>
      <c r="O37" s="1"/>
      <c r="P37" s="191" t="e">
        <f>ROUNDUP($A37/$R37,0)*$R37 &amp; "  " &amp; Formeln!$A$112 &amp; "                     " &amp; " (" &amp; ROUNDUP($A37/$R37,0)*$R37/$S37 &amp; " " &amp; Formeln!$A$111 &amp; ")"</f>
        <v>#VALUE!</v>
      </c>
      <c r="Q37" s="191" t="str">
        <f>ROUNDUP($A37/$S37,0)*$S37 &amp; "  " &amp; Formeln!$A$112 &amp; "                     " &amp; " (" &amp; ROUNDUP($A37/$S37,0)*$S37/$S37 &amp; " " &amp; Formeln!$A$111 &amp; ")"</f>
        <v>0  lfm                      (0 STK)</v>
      </c>
      <c r="R37" s="191" t="str">
        <f>IF($N$24="","",IF($N$24=5,"",30))</f>
        <v/>
      </c>
      <c r="S37" s="191">
        <v>6</v>
      </c>
      <c r="T37" s="64">
        <v>572013</v>
      </c>
      <c r="U37" s="64">
        <v>572019</v>
      </c>
      <c r="V37" s="64">
        <v>572012</v>
      </c>
      <c r="W37" s="64">
        <v>572041</v>
      </c>
      <c r="X37" s="64">
        <v>572016</v>
      </c>
      <c r="Y37" s="64">
        <v>572017</v>
      </c>
      <c r="Z37" s="64">
        <v>572023</v>
      </c>
      <c r="AA37" s="64">
        <v>572040</v>
      </c>
      <c r="AB37" s="64">
        <v>572049</v>
      </c>
      <c r="AC37" s="64">
        <v>572055</v>
      </c>
      <c r="AD37" s="64">
        <v>572052</v>
      </c>
      <c r="AE37" s="71">
        <v>572057</v>
      </c>
      <c r="AF37" s="74">
        <f t="shared" si="0"/>
        <v>0</v>
      </c>
      <c r="AG37" s="74" t="s">
        <v>376</v>
      </c>
      <c r="AH37" s="64">
        <v>572006</v>
      </c>
      <c r="AI37" s="64">
        <v>572003</v>
      </c>
      <c r="AJ37" s="64">
        <v>572008</v>
      </c>
      <c r="AK37" s="64">
        <v>572015</v>
      </c>
      <c r="AL37" s="64">
        <v>572020</v>
      </c>
      <c r="AM37" s="64">
        <v>572014</v>
      </c>
      <c r="AN37" s="64">
        <v>572024</v>
      </c>
      <c r="AO37" s="64">
        <v>572027</v>
      </c>
      <c r="AP37" s="64">
        <v>572050</v>
      </c>
      <c r="AQ37" s="64">
        <v>572056</v>
      </c>
      <c r="AR37" s="64">
        <v>572053</v>
      </c>
      <c r="AS37" s="71">
        <v>572058</v>
      </c>
      <c r="AT37" s="74">
        <f>IF($N$21=1,AJ37,IF($N$21=2,AL37,IF($N$21=3,AK37,IF($N$21=4,AN37,IF($N$21=5,AO37,IF($N$21=6,AI37,IF($N$21=7,AP37,IF($N$21=8,AQ37,IF($N$21=9,AH37,0)))))))))</f>
        <v>0</v>
      </c>
      <c r="AU37" s="74" t="s">
        <v>377</v>
      </c>
      <c r="AV37" s="64">
        <v>572001</v>
      </c>
      <c r="AW37" s="64">
        <v>572002</v>
      </c>
      <c r="AX37" s="64">
        <v>572007</v>
      </c>
      <c r="AY37" s="64">
        <v>572011</v>
      </c>
      <c r="AZ37" s="64">
        <v>572018</v>
      </c>
      <c r="BA37" s="64">
        <v>572021</v>
      </c>
      <c r="BB37" s="64">
        <v>572025</v>
      </c>
      <c r="BC37" s="64">
        <v>572028</v>
      </c>
      <c r="BD37" s="64">
        <v>572030</v>
      </c>
      <c r="BE37" s="64">
        <v>572051</v>
      </c>
      <c r="BF37" s="64">
        <v>572054</v>
      </c>
      <c r="BG37" s="71">
        <v>572059</v>
      </c>
      <c r="BH37" s="74">
        <f>IF($N$21=1,AX37,IF($N$21=2,AZ37,IF($N$21=3,AY37,IF($N$21=4,BB37,IF($N$21=5,BC37,IF($N$21=6,AW37,IF($N$21=7,BD37,IF($N$21=8,BE37,IF($N$21=9,AV37,0)))))))))</f>
        <v>0</v>
      </c>
      <c r="BI37" s="74" t="s">
        <v>378</v>
      </c>
      <c r="BJ37" s="64">
        <v>572005</v>
      </c>
      <c r="BK37" s="64">
        <v>572004</v>
      </c>
      <c r="BL37" s="64">
        <v>572009</v>
      </c>
      <c r="BM37" s="71"/>
      <c r="BN37" s="64">
        <v>572010</v>
      </c>
      <c r="BO37" s="71">
        <v>572062</v>
      </c>
      <c r="BP37" s="71"/>
      <c r="BQ37" s="71">
        <v>572060</v>
      </c>
      <c r="BR37" s="71"/>
      <c r="BS37" s="71">
        <v>572063</v>
      </c>
      <c r="BT37" s="71">
        <v>572061</v>
      </c>
      <c r="BU37" s="71"/>
      <c r="BV37" s="74">
        <f>IF($N$21=1,BL37,IF($N$21=2,BN37,IF($N$21=3,BM37,IF($N$21=4,BP37,IF($N$21=5,BQ37,IF($N$21=6,BK37,IF($N$21=7,BR37,IF($N$21=8,BS37,IF($N$21=9,BJ37,0)))))))))</f>
        <v>0</v>
      </c>
      <c r="BW37" s="74" t="s">
        <v>379</v>
      </c>
      <c r="CJ37" s="74"/>
      <c r="CK37" s="7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167"/>
      <c r="CX37" s="74"/>
      <c r="CY37" s="7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71"/>
      <c r="DL37" s="74"/>
      <c r="DM37" s="74"/>
      <c r="DN37" s="64"/>
      <c r="DO37" s="64"/>
      <c r="DP37" s="64"/>
      <c r="DQ37" s="167"/>
      <c r="DR37" s="64"/>
      <c r="DS37" s="167"/>
      <c r="DT37" s="167"/>
      <c r="DU37" s="167"/>
      <c r="DV37" s="167"/>
      <c r="DW37" s="167"/>
      <c r="DX37" s="167"/>
      <c r="DY37" s="71"/>
      <c r="DZ37" s="74"/>
      <c r="EA37" s="74"/>
      <c r="EN37" s="74"/>
      <c r="EO37" s="74"/>
    </row>
    <row r="38" spans="1:145" ht="32.1" customHeight="1">
      <c r="A38" s="131"/>
      <c r="B38" s="96" t="str">
        <f>VLOOKUP("STK",Sprachindex!A:Z,Info!$O$6,FALSE)</f>
        <v>STK</v>
      </c>
      <c r="C38" s="129"/>
      <c r="D38" s="95">
        <f>IF(AND($N$24=1,J38=Formeln!E165),AF38,IF(AND($N$24=2,J38=Formeln!E165),BH38,IF(AND($N$24=3,J38=Formeln!E165),CX38,IF(AND($N$24=4,J38=Formeln!E165),EN38,IF(AND($N$24=1,J38=Formeln!E166),AT38,IF(AND($N$24=2,J38=Formeln!E166),BV38,IF(AND($N$24=3,J38=Formeln!E166),DL38,IF(AND($N$24=2,J38=Formeln!E167),CJ38,IF(AND($N$24=3,J38=Formeln!E167),DZ38,0)))))))))</f>
        <v>0</v>
      </c>
      <c r="E38" s="250" t="str">
        <f>VLOOKUP("Rinnenhaken",Sprachindex!A:Z,Info!$O$6,FALSE)</f>
        <v>Rinnenhaken</v>
      </c>
      <c r="F38" s="251"/>
      <c r="G38" s="251"/>
      <c r="H38" s="251"/>
      <c r="I38" s="101" t="str">
        <f>VLOOKUP("Länge wählen:",Sprachindex!A:Z,Info!$O$6,FALSE)</f>
        <v>Länge wählen:</v>
      </c>
      <c r="J38" s="301"/>
      <c r="K38" s="309"/>
      <c r="L38" s="96" t="str">
        <f t="shared" ref="L38:L103" si="1">IF(OR(A38="",R38="",S38="")," ",IF($N$11=1,$P38,IF($N$11=2,Q38,0)))</f>
        <v xml:space="preserve"> </v>
      </c>
      <c r="M38" s="130"/>
      <c r="N38" s="87"/>
      <c r="O38" s="1"/>
      <c r="P38" s="191" t="e">
        <f>ROUNDUP($A38/R38,0)*R38 &amp; "  " &amp; Formeln!$A$111</f>
        <v>#VALUE!</v>
      </c>
      <c r="Q38" s="191" t="str">
        <f>ROUNDUP($A38/S38,0)*S38 &amp; "  " &amp; Formeln!$A$111</f>
        <v>0  STK</v>
      </c>
      <c r="R38" s="191" t="str">
        <f>IF(AND($N$24=1,$J38=VLOOKUP("normal",Sprachindex!A:Z,Info!$O$6,FALSE)),30,IF(AND($N$24=1,$J38=VLOOKUP("kurz",Sprachindex!A:Z,Info!$O$6,FALSE)),30,IF(AND($N$24=2,$J38=VLOOKUP("normal",Sprachindex!A:Z,Info!$O$6,FALSE)),30,IF(AND($N$24=2,$J38=VLOOKUP("kurz",Sprachindex!A:Z,Info!$O$6,FALSE)),30,IF(AND($N$24=2,$J38=VLOOKUP("lang",Sprachindex!A:Z,Info!$O$6,FALSE)),30,IF(AND($N$24=3,$J38=VLOOKUP("normal",Sprachindex!A:Z,Info!$O$6,FALSE)),30,IF(AND($N$24=3,$J38=VLOOKUP("kurz",Sprachindex!A:Z,Info!$O$6,FALSE)),30,IF(AND($N$24=3,$J38=VLOOKUP("lang",Sprachindex!A:Z,Info!$O$6,FALSE)),30,IF(AND($N$24=4,$J38=VLOOKUP("normal",Sprachindex!A:Z,Info!$O$6,FALSE)),20,"")))))))))</f>
        <v/>
      </c>
      <c r="S38" s="191">
        <v>1</v>
      </c>
      <c r="T38" s="64">
        <v>521019</v>
      </c>
      <c r="U38" s="64">
        <v>521040</v>
      </c>
      <c r="V38" s="64">
        <v>521020</v>
      </c>
      <c r="W38" s="64">
        <v>521042</v>
      </c>
      <c r="X38" s="64">
        <v>521030</v>
      </c>
      <c r="Y38" s="64">
        <v>521031</v>
      </c>
      <c r="Z38" s="64">
        <v>521045</v>
      </c>
      <c r="AA38" s="64">
        <v>521041</v>
      </c>
      <c r="AB38" s="64">
        <v>521062</v>
      </c>
      <c r="AC38" s="64">
        <v>521068</v>
      </c>
      <c r="AD38" s="64">
        <v>521063</v>
      </c>
      <c r="AE38" s="71">
        <v>521071</v>
      </c>
      <c r="AF38" s="74">
        <f t="shared" si="0"/>
        <v>0</v>
      </c>
      <c r="AG38" s="75" t="s">
        <v>380</v>
      </c>
      <c r="AH38" s="64">
        <v>521092</v>
      </c>
      <c r="AI38" s="64">
        <v>521242</v>
      </c>
      <c r="AJ38" s="64">
        <v>521240</v>
      </c>
      <c r="AK38" s="64">
        <v>521245</v>
      </c>
      <c r="AL38" s="64">
        <v>521241</v>
      </c>
      <c r="AM38" s="64">
        <v>521243</v>
      </c>
      <c r="AN38" s="64">
        <v>521246</v>
      </c>
      <c r="AO38" s="64">
        <v>521244</v>
      </c>
      <c r="AP38" s="64">
        <v>521247</v>
      </c>
      <c r="AQ38" s="64">
        <v>521250</v>
      </c>
      <c r="AR38" s="64">
        <v>521249</v>
      </c>
      <c r="AS38" s="71">
        <v>521251</v>
      </c>
      <c r="AT38" s="74">
        <f>IF($N$21=1,AJ38,IF($N$21=2,AL38,IF($N$21=3,AK38,IF($N$21=4,AN38,IF($N$21=5,AO38,IF($N$21=6,AI38,IF($N$21=7,AP38,IF($N$21=8,AQ38,IF($N$21=9,AH38,0)))))))))</f>
        <v>0</v>
      </c>
      <c r="AU38" s="75" t="s">
        <v>381</v>
      </c>
      <c r="AV38" s="64">
        <v>521005</v>
      </c>
      <c r="AW38" s="64">
        <v>521006</v>
      </c>
      <c r="AX38" s="64">
        <v>521010</v>
      </c>
      <c r="AY38" s="64">
        <v>521022</v>
      </c>
      <c r="AZ38" s="64">
        <v>521014</v>
      </c>
      <c r="BA38" s="64">
        <v>521021</v>
      </c>
      <c r="BB38" s="64">
        <v>521044</v>
      </c>
      <c r="BC38" s="64">
        <v>521023</v>
      </c>
      <c r="BD38" s="64">
        <v>521061</v>
      </c>
      <c r="BE38" s="64">
        <v>521069</v>
      </c>
      <c r="BF38" s="64">
        <v>521064</v>
      </c>
      <c r="BG38" s="71">
        <v>521072</v>
      </c>
      <c r="BH38" s="74">
        <f>IF($N$21=1,AX38,IF($N$21=2,AZ38,IF($N$21=3,AY38,IF($N$21=4,BB38,IF($N$21=5,BC38,IF($N$21=6,AW38,IF($N$21=7,BD38,IF($N$21=8,BE38,IF($N$21=9,AV38,0)))))))))</f>
        <v>0</v>
      </c>
      <c r="BI38" s="75" t="s">
        <v>382</v>
      </c>
      <c r="BJ38" s="64">
        <v>521091</v>
      </c>
      <c r="BK38" s="64">
        <v>521222</v>
      </c>
      <c r="BL38" s="64">
        <v>521220</v>
      </c>
      <c r="BM38" s="64">
        <v>521225</v>
      </c>
      <c r="BN38" s="64">
        <v>521221</v>
      </c>
      <c r="BO38" s="64">
        <v>521223</v>
      </c>
      <c r="BP38" s="64">
        <v>521226</v>
      </c>
      <c r="BQ38" s="64">
        <v>521224</v>
      </c>
      <c r="BR38" s="64">
        <v>521227</v>
      </c>
      <c r="BS38" s="64">
        <v>521230</v>
      </c>
      <c r="BT38" s="64">
        <v>521229</v>
      </c>
      <c r="BU38" s="71">
        <v>521231</v>
      </c>
      <c r="BV38" s="74">
        <f>IF($N$21=1,BL38,IF($N$21=2,BN38,IF($N$21=3,BM38,IF($N$21=4,BP38,IF($N$21=5,BQ38,IF($N$21=6,BK38,IF($N$21=7,BR38,IF($N$21=8,BS38,IF($N$21=9,BJ38,0)))))))))</f>
        <v>0</v>
      </c>
      <c r="BW38" s="75" t="s">
        <v>383</v>
      </c>
      <c r="BX38" s="64">
        <v>521050</v>
      </c>
      <c r="BY38" s="64">
        <v>521053</v>
      </c>
      <c r="BZ38" s="64">
        <v>521052</v>
      </c>
      <c r="CA38" s="64">
        <v>521056</v>
      </c>
      <c r="CB38" s="64">
        <v>521051</v>
      </c>
      <c r="CC38" s="64">
        <v>521054</v>
      </c>
      <c r="CD38" s="64">
        <v>521047</v>
      </c>
      <c r="CE38" s="64">
        <v>521055</v>
      </c>
      <c r="CF38" s="64">
        <v>521048</v>
      </c>
      <c r="CG38" s="64">
        <v>521070</v>
      </c>
      <c r="CH38" s="64">
        <v>521066</v>
      </c>
      <c r="CI38" s="71">
        <v>521074</v>
      </c>
      <c r="CJ38" s="74">
        <f>IF($N$21=1,BZ38,IF($N$21=2,CB38,IF($N$21=3,CA38,IF($N$21=4,CD38,IF($N$21=5,CE38,IF($N$21=6,BY38,IF($N$21=7,CF38,IF($N$21=8,CG38,IF($N$21=9,BX38,0)))))))))</f>
        <v>0</v>
      </c>
      <c r="CK38" s="75" t="s">
        <v>384</v>
      </c>
      <c r="CL38" s="64">
        <v>521001</v>
      </c>
      <c r="CM38" s="64">
        <v>521002</v>
      </c>
      <c r="CN38" s="64">
        <v>521009</v>
      </c>
      <c r="CO38" s="64">
        <v>521018</v>
      </c>
      <c r="CP38" s="64">
        <v>521012</v>
      </c>
      <c r="CQ38" s="64">
        <v>521017</v>
      </c>
      <c r="CR38" s="64">
        <v>521043</v>
      </c>
      <c r="CS38" s="64">
        <v>521024</v>
      </c>
      <c r="CT38" s="64">
        <v>521032</v>
      </c>
      <c r="CU38" s="64">
        <v>521211</v>
      </c>
      <c r="CV38" s="64">
        <v>521065</v>
      </c>
      <c r="CW38" s="1">
        <v>521073</v>
      </c>
      <c r="CX38" s="74">
        <f>IF($N$21=1,CN38,IF($N$21=2,CP38,IF($N$21=3,CO38,IF($N$21=4,CR38,IF($N$21=5,CS38,IF($N$21=6,CM38,IF($N$21=7,CT38,IF($N$21=8,CU38,IF($N$21=9,CL38,0)))))))))</f>
        <v>0</v>
      </c>
      <c r="CY38" s="75" t="s">
        <v>385</v>
      </c>
      <c r="CZ38" s="64">
        <v>521090</v>
      </c>
      <c r="DA38" s="64">
        <v>521202</v>
      </c>
      <c r="DB38" s="64">
        <v>521200</v>
      </c>
      <c r="DC38" s="64">
        <v>521205</v>
      </c>
      <c r="DD38" s="64">
        <v>521201</v>
      </c>
      <c r="DE38" s="64">
        <v>521203</v>
      </c>
      <c r="DF38" s="64">
        <v>521206</v>
      </c>
      <c r="DG38" s="64">
        <v>521204</v>
      </c>
      <c r="DH38" s="64">
        <v>521208</v>
      </c>
      <c r="DI38" s="64">
        <v>521213</v>
      </c>
      <c r="DJ38" s="64">
        <v>521214</v>
      </c>
      <c r="DK38" s="71">
        <v>521215</v>
      </c>
      <c r="DL38" s="74">
        <f>IF($N$21=1,DB38,IF($N$21=2,DD38,IF($N$21=3,DC38,IF($N$21=4,DF38,IF($N$21=5,DG38,IF($N$21=6,DA38,IF($N$21=7,DH38,IF($N$21=8,DI38,IF($N$21=9,CZ38,0)))))))))</f>
        <v>0</v>
      </c>
      <c r="DM38" s="75" t="s">
        <v>386</v>
      </c>
      <c r="DN38" s="64">
        <v>521007</v>
      </c>
      <c r="DO38" s="64">
        <v>521008</v>
      </c>
      <c r="DP38" s="64">
        <v>521011</v>
      </c>
      <c r="DQ38" s="64">
        <v>521026</v>
      </c>
      <c r="DR38" s="64">
        <v>521013</v>
      </c>
      <c r="DS38" s="64">
        <v>521027</v>
      </c>
      <c r="DT38" s="64">
        <v>521046</v>
      </c>
      <c r="DU38" s="64">
        <v>521025</v>
      </c>
      <c r="DV38" s="64">
        <v>521033</v>
      </c>
      <c r="DW38" s="64">
        <v>521212</v>
      </c>
      <c r="DX38" s="64">
        <v>521067</v>
      </c>
      <c r="DY38" s="71">
        <v>521075</v>
      </c>
      <c r="DZ38" s="74">
        <f>IF($N$21=1,DP38,IF($N$21=2,DR38,IF($N$21=3,DQ38,IF($N$21=4,DT38,IF($N$21=5,DU38,IF($N$21=6,DO38,IF($N$21=7,DV38,IF($N$21=8,DW38,IF($N$21=9,DN38,0)))))))))</f>
        <v>0</v>
      </c>
      <c r="EA38" s="75" t="s">
        <v>387</v>
      </c>
      <c r="EB38" s="64">
        <v>521003</v>
      </c>
      <c r="EC38" s="64">
        <v>521004</v>
      </c>
      <c r="ED38" s="64">
        <v>521015</v>
      </c>
      <c r="EE38" s="71"/>
      <c r="EF38" s="64">
        <v>521016</v>
      </c>
      <c r="EG38" s="71">
        <v>521082</v>
      </c>
      <c r="EH38" s="71"/>
      <c r="EI38" s="71">
        <v>521080</v>
      </c>
      <c r="EJ38" s="71"/>
      <c r="EK38" s="71">
        <v>521083</v>
      </c>
      <c r="EL38" s="71">
        <v>521081</v>
      </c>
      <c r="EM38" s="71"/>
      <c r="EN38" s="74">
        <f>IF($N$21=1,ED38,IF($N$21=2,EF38,IF($N$21=3,EE38,IF($N$21=4,EH38,IF($N$21=5,EI38,IF($N$21=6,EC38,IF($N$21=7,EJ38,IF($N$21=8,EK38,IF($N$21=9,EB38,0)))))))))</f>
        <v>0</v>
      </c>
      <c r="EO38" s="75" t="s">
        <v>388</v>
      </c>
    </row>
    <row r="39" spans="1:145" ht="32.1" customHeight="1">
      <c r="A39" s="132"/>
      <c r="B39" s="144" t="str">
        <f>VLOOKUP("STK",Sprachindex!A:Z,Info!$O$6,FALSE)</f>
        <v>STK</v>
      </c>
      <c r="C39" s="134"/>
      <c r="D39" s="134">
        <f>IF(N24=2,AT39,IF(N24=3,BH39,IF(N24=1,AF39,0)))</f>
        <v>0</v>
      </c>
      <c r="E39" s="303" t="str">
        <f>VLOOKUP("Stirnbretthaken ",Sprachindex!A:Z,Info!$O$6,FALSE)</f>
        <v xml:space="preserve">Stirnbretthaken </v>
      </c>
      <c r="F39" s="304"/>
      <c r="G39" s="304"/>
      <c r="H39" s="304"/>
      <c r="I39" s="304"/>
      <c r="J39" s="305" t="str">
        <f>IF(N24=0,"",IF(N24=1,G25,IF(N24=2,G26,IF(N24=3,G27,Formeln!A174))))</f>
        <v/>
      </c>
      <c r="K39" s="306"/>
      <c r="L39" s="96" t="str">
        <f t="shared" si="1"/>
        <v xml:space="preserve"> </v>
      </c>
      <c r="M39" s="135"/>
      <c r="N39" s="87"/>
      <c r="O39" s="1"/>
      <c r="P39" s="191" t="e">
        <f>ROUNDUP($A39/R39,0)*R39 &amp; "  " &amp; Formeln!$A$111</f>
        <v>#VALUE!</v>
      </c>
      <c r="Q39" s="191" t="str">
        <f>ROUNDUP($A39/S39,0)*S39 &amp; "  " &amp; Formeln!$A$111</f>
        <v>0  STK</v>
      </c>
      <c r="R39" s="191" t="str">
        <f>IF($N$24=1,20,IF($N$24=2,20,IF($N$24=3,20,"")))</f>
        <v/>
      </c>
      <c r="S39" s="191">
        <v>1</v>
      </c>
      <c r="T39" s="64" t="s">
        <v>389</v>
      </c>
      <c r="U39" s="64" t="s">
        <v>390</v>
      </c>
      <c r="V39" s="64" t="s">
        <v>391</v>
      </c>
      <c r="W39" s="64"/>
      <c r="X39" s="64" t="s">
        <v>392</v>
      </c>
      <c r="Y39" s="64"/>
      <c r="Z39" s="64"/>
      <c r="AA39" s="64"/>
      <c r="AB39" s="64"/>
      <c r="AC39" s="64"/>
      <c r="AD39" s="64"/>
      <c r="AE39" s="71"/>
      <c r="AF39" s="74">
        <f t="shared" si="0"/>
        <v>0</v>
      </c>
      <c r="AG39" s="75" t="s">
        <v>393</v>
      </c>
      <c r="AH39" s="64">
        <v>521501</v>
      </c>
      <c r="AI39" s="64">
        <v>521522</v>
      </c>
      <c r="AJ39" s="64">
        <v>521520</v>
      </c>
      <c r="AK39" s="64">
        <v>521525</v>
      </c>
      <c r="AL39" s="64">
        <v>521521</v>
      </c>
      <c r="AM39" s="64">
        <v>521523</v>
      </c>
      <c r="AN39" s="64">
        <v>521526</v>
      </c>
      <c r="AO39" s="64">
        <v>521524</v>
      </c>
      <c r="AP39" s="64">
        <v>521528</v>
      </c>
      <c r="AQ39" s="64">
        <v>521530</v>
      </c>
      <c r="AR39" s="64">
        <v>521529</v>
      </c>
      <c r="AS39" s="71">
        <v>521531</v>
      </c>
      <c r="AT39" s="74">
        <f>IF($N$21=1,AJ39,IF($N$21=2,AL39,IF($N$21=3,AK39,IF($N$21=4,AN39,IF($N$21=5,AO39,IF($N$21=6,AI39,IF($N$21=7,AP39,IF($N$21=8,AQ39,IF($N$21=9,AH39,0)))))))))</f>
        <v>0</v>
      </c>
      <c r="AU39" s="75" t="s">
        <v>394</v>
      </c>
      <c r="AV39" s="64">
        <v>521502</v>
      </c>
      <c r="AW39" s="64">
        <v>521537</v>
      </c>
      <c r="AX39" s="64">
        <v>521535</v>
      </c>
      <c r="AY39" s="64">
        <v>521540</v>
      </c>
      <c r="AZ39" s="64">
        <v>521536</v>
      </c>
      <c r="BA39" s="64">
        <v>521538</v>
      </c>
      <c r="BB39" s="64">
        <v>521541</v>
      </c>
      <c r="BC39" s="64">
        <v>521539</v>
      </c>
      <c r="BD39" s="64">
        <v>521544</v>
      </c>
      <c r="BE39" s="64">
        <v>521546</v>
      </c>
      <c r="BF39" s="64">
        <v>521547</v>
      </c>
      <c r="BG39" s="71">
        <v>521548</v>
      </c>
      <c r="BH39" s="74">
        <f>IF($N$21=1,AX39,IF($N$21=2,AZ39,IF($N$21=3,AY39,IF($N$21=4,BB39,IF($N$21=5,BC39,IF($N$21=6,AW39,IF($N$21=7,BD39,IF($N$21=8,BE39,IF($N$21=9,AV39,0)))))))))</f>
        <v>0</v>
      </c>
      <c r="BI39" s="75" t="s">
        <v>395</v>
      </c>
    </row>
    <row r="40" spans="1:145" ht="32.1" customHeight="1">
      <c r="A40" s="132"/>
      <c r="B40" s="144" t="str">
        <f>VLOOKUP("STK",Sprachindex!A:Z,Info!$O$6,FALSE)</f>
        <v>STK</v>
      </c>
      <c r="C40" s="133"/>
      <c r="D40" s="133" t="str">
        <f>IF(AND(N24=3,J40=Formeln!E176),AF40,IF(AND(N24=3,J40=Formeln!E177),AT40,IF(AND(N24=4,J40=Formeln!E176),BH40,IF(AND(N24=2,J40=Formeln!E176),BV40,""))))</f>
        <v/>
      </c>
      <c r="E40" s="303" t="str">
        <f>VLOOKUP("Rinnenhaken, hochkant",Sprachindex!A:Z,Info!$O$6,FALSE)</f>
        <v>Rinnenhaken, hochkant</v>
      </c>
      <c r="F40" s="304"/>
      <c r="G40" s="304"/>
      <c r="H40" s="304"/>
      <c r="I40" s="136" t="str">
        <f>VLOOKUP("Länge wählen:",Sprachindex!A:Z,Info!$O$6,FALSE)</f>
        <v>Länge wählen:</v>
      </c>
      <c r="J40" s="301"/>
      <c r="K40" s="309"/>
      <c r="L40" s="96" t="str">
        <f t="shared" si="1"/>
        <v xml:space="preserve"> </v>
      </c>
      <c r="M40" s="135"/>
      <c r="N40" s="87"/>
      <c r="O40" s="1"/>
      <c r="P40" s="191" t="e">
        <f>ROUNDUP($A40/R40,0)*R40 &amp; "  " &amp; Formeln!$A$111</f>
        <v>#VALUE!</v>
      </c>
      <c r="Q40" s="191" t="str">
        <f>ROUNDUP($A40/S40,0)*S40 &amp; "  " &amp; Formeln!$A$111</f>
        <v>0  STK</v>
      </c>
      <c r="R40" s="191" t="str">
        <f>IF($N$24=1,"",IF(AND($N$24=2,$J40=VLOOKUP("normal",Sprachindex!A:Z,Info!$O$6,FALSE)),10,IF(AND($N$24=3,$J40=VLOOKUP("normal",Sprachindex!A:Z,Info!$O$6,FALSE)),20,IF(AND($N$24=3,$J40=VLOOKUP("kurz",Sprachindex!A:Z,Info!$O$6,FALSE)),20,IF(AND($N$24=4,$J40=VLOOKUP("normal",Sprachindex!A:Z,Info!$O$6,FALSE)),20,"")))))</f>
        <v/>
      </c>
      <c r="S40" s="191">
        <v>1</v>
      </c>
      <c r="T40" s="64">
        <v>522001</v>
      </c>
      <c r="U40" s="64">
        <v>522002</v>
      </c>
      <c r="V40" s="64">
        <v>522003</v>
      </c>
      <c r="W40" s="64">
        <v>522008</v>
      </c>
      <c r="X40" s="64">
        <v>522004</v>
      </c>
      <c r="Y40" s="64">
        <v>522007</v>
      </c>
      <c r="Z40" s="64">
        <v>522005</v>
      </c>
      <c r="AA40" s="64">
        <v>522009</v>
      </c>
      <c r="AB40" s="64">
        <v>522010</v>
      </c>
      <c r="AC40" s="64">
        <v>522014</v>
      </c>
      <c r="AD40" s="64">
        <v>522015</v>
      </c>
      <c r="AE40" s="71">
        <v>522016</v>
      </c>
      <c r="AF40" s="74">
        <f t="shared" si="0"/>
        <v>0</v>
      </c>
      <c r="AG40" s="75" t="s">
        <v>396</v>
      </c>
      <c r="AH40" s="64">
        <v>522020</v>
      </c>
      <c r="AI40" s="71"/>
      <c r="AJ40" s="64">
        <v>522022</v>
      </c>
      <c r="AK40" s="71"/>
      <c r="AL40" s="64">
        <v>522021</v>
      </c>
      <c r="AM40" s="71"/>
      <c r="AN40" s="71"/>
      <c r="AO40" s="71"/>
      <c r="AP40" s="71"/>
      <c r="AQ40" s="71"/>
      <c r="AR40" s="71"/>
      <c r="AS40" s="71"/>
      <c r="AT40" s="74">
        <f>IF($N$21=1,AJ40,IF($N$21=2,AL40,IF($N$21=3,AK40,IF($N$21=4,AN40,IF($N$21=5,AO40,IF($N$21=6,AI40,IF($N$21=7,AP40,IF($N$21=8,AQ40,IF($N$21=9,AH40,0)))))))))</f>
        <v>0</v>
      </c>
      <c r="AU40" s="75" t="s">
        <v>396</v>
      </c>
      <c r="AV40" s="64" t="s">
        <v>397</v>
      </c>
      <c r="AW40" s="64" t="s">
        <v>398</v>
      </c>
      <c r="AX40" s="64" t="s">
        <v>399</v>
      </c>
      <c r="AY40" s="64"/>
      <c r="AZ40" s="64" t="s">
        <v>400</v>
      </c>
      <c r="BA40" s="64" t="s">
        <v>401</v>
      </c>
      <c r="BB40" s="64"/>
      <c r="BC40" s="64" t="s">
        <v>402</v>
      </c>
      <c r="BD40" s="64"/>
      <c r="BE40" s="64" t="s">
        <v>403</v>
      </c>
      <c r="BF40" s="64" t="s">
        <v>404</v>
      </c>
      <c r="BG40" s="64"/>
      <c r="BH40" s="74">
        <f>IF($N$21=1,AX40,IF($N$21=2,AZ40,IF($N$21=3,AY40,IF($N$21=4,BB40,IF($N$21=5,BC40,IF($N$21=6,AW40,IF($N$21=7,BD40,IF($N$21=8,BE40,IF($N$21=9,AV40,0)))))))))</f>
        <v>0</v>
      </c>
      <c r="BI40" s="75" t="s">
        <v>405</v>
      </c>
      <c r="BJ40" s="64" t="s">
        <v>406</v>
      </c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71"/>
      <c r="BV40" s="74">
        <f>IF($N$21=1,BL40,IF($N$21=2,BN40,IF($N$21=3,BM40,IF($N$21=4,BP40,IF($N$21=5,BQ40,IF($N$21=6,BK40,IF($N$21=7,BR40,IF($N$21=8,BS40,IF($N$21=9,BJ40,0)))))))))</f>
        <v>0</v>
      </c>
      <c r="BW40" s="75" t="s">
        <v>407</v>
      </c>
    </row>
    <row r="41" spans="1:145" ht="32.1" customHeight="1">
      <c r="A41" s="132"/>
      <c r="B41" s="144" t="str">
        <f>VLOOKUP("STK",Sprachindex!A:Z,Info!$O$6,FALSE)</f>
        <v>STK</v>
      </c>
      <c r="C41" s="133"/>
      <c r="D41" s="133">
        <f>IF(N24=3,AF41,0)</f>
        <v>0</v>
      </c>
      <c r="E41" s="303" t="str">
        <f>VLOOKUP("Rinnenhaken Schweiz",Sprachindex!A:Z,Info!$O$6,FALSE)</f>
        <v>Rinnenhaken Schweiz</v>
      </c>
      <c r="F41" s="304"/>
      <c r="G41" s="304"/>
      <c r="H41" s="304"/>
      <c r="I41" s="136"/>
      <c r="J41" s="305" t="str">
        <f>IF(N24=0,"",IF(N24=3,G27,Formeln!A174))</f>
        <v/>
      </c>
      <c r="K41" s="306"/>
      <c r="L41" s="96" t="str">
        <f t="shared" si="1"/>
        <v xml:space="preserve"> </v>
      </c>
      <c r="M41" s="135"/>
      <c r="N41" s="87"/>
      <c r="O41" s="1"/>
      <c r="P41" s="191" t="e">
        <f>ROUNDUP($A41/R41,0)*R41 &amp; "  " &amp; Formeln!$A$111</f>
        <v>#VALUE!</v>
      </c>
      <c r="Q41" s="191" t="str">
        <f>ROUNDUP($A41/S41,0)*S41 &amp; "  " &amp; Formeln!$A$111</f>
        <v>0  STK</v>
      </c>
      <c r="R41" s="191" t="str">
        <f>IF($N$24=3,"20","")</f>
        <v/>
      </c>
      <c r="S41" s="191">
        <v>1</v>
      </c>
      <c r="T41" s="64">
        <v>522050</v>
      </c>
      <c r="U41" s="64">
        <v>522053</v>
      </c>
      <c r="V41" s="64">
        <v>522051</v>
      </c>
      <c r="W41" s="71"/>
      <c r="X41" s="64">
        <v>522052</v>
      </c>
      <c r="Y41" s="71"/>
      <c r="Z41" s="71"/>
      <c r="AA41" s="71"/>
      <c r="AB41" s="71"/>
      <c r="AC41" s="71"/>
      <c r="AD41" s="71"/>
      <c r="AE41" s="71"/>
      <c r="AF41" s="74">
        <f t="shared" si="0"/>
        <v>0</v>
      </c>
      <c r="AG41" s="75" t="s">
        <v>396</v>
      </c>
    </row>
    <row r="42" spans="1:145" ht="32.1" customHeight="1">
      <c r="A42" s="131"/>
      <c r="B42" s="96" t="str">
        <f>VLOOKUP("kg",Sprachindex!A:Z,Info!$O$6,FALSE)</f>
        <v>kg</v>
      </c>
      <c r="C42" s="95"/>
      <c r="D42" s="95">
        <v>350670</v>
      </c>
      <c r="E42" s="250" t="str">
        <f>VLOOKUP("Rinnenhakennägel",Sprachindex!A:Z,Info!$O$6,FALSE)</f>
        <v>Rinnenhakennägel</v>
      </c>
      <c r="F42" s="251"/>
      <c r="G42" s="251"/>
      <c r="H42" s="251"/>
      <c r="I42" s="251"/>
      <c r="J42" s="307" t="str">
        <f>VLOOKUP("5,0 × 80 mm",Sprachindex!A:Z,Info!$O$6,FALSE)</f>
        <v>5,0 × 80 mm</v>
      </c>
      <c r="K42" s="308"/>
      <c r="L42" s="96" t="str">
        <f t="shared" si="1"/>
        <v xml:space="preserve"> </v>
      </c>
      <c r="M42" s="130"/>
      <c r="N42" s="87"/>
      <c r="O42" s="1"/>
      <c r="P42" s="191" t="str">
        <f>ROUNDUP($A42/$R42,0)*$R42 &amp; "  " &amp; Formeln!$A$114 &amp; "                  " &amp; "(=" &amp; " " &amp; ROUNDUP($A42/$R42,0)*$R42*80 &amp; Formeln!$A$111 &amp; ")"</f>
        <v>0  kg                  (= 0STK)</v>
      </c>
      <c r="Q42" s="191" t="str">
        <f>ROUNDUP($A42/$S42,0)*$S42 &amp; "  " &amp; Formeln!$A$114 &amp; "                  " &amp; "(=" &amp; " " &amp; ROUNDUP($A42/$S42,0)*$S42*80 &amp; Formeln!$A$111 &amp; ")"</f>
        <v>0  kg                  (= 0STK)</v>
      </c>
      <c r="R42" s="191">
        <v>5</v>
      </c>
      <c r="S42" s="191">
        <v>0.5</v>
      </c>
      <c r="T42" s="206" t="s">
        <v>48</v>
      </c>
      <c r="U42" s="49" t="s">
        <v>79</v>
      </c>
      <c r="V42" s="49" t="s">
        <v>74</v>
      </c>
      <c r="W42" s="49" t="s">
        <v>77</v>
      </c>
      <c r="X42" s="49" t="s">
        <v>75</v>
      </c>
      <c r="Y42" s="49" t="s">
        <v>84</v>
      </c>
      <c r="Z42" s="49" t="s">
        <v>78</v>
      </c>
      <c r="AA42" s="49" t="s">
        <v>82</v>
      </c>
      <c r="AB42" s="49" t="s">
        <v>83</v>
      </c>
      <c r="AC42" s="49" t="s">
        <v>370</v>
      </c>
      <c r="AD42" s="49" t="s">
        <v>81</v>
      </c>
      <c r="AE42" s="49" t="s">
        <v>76</v>
      </c>
      <c r="AF42" s="49"/>
      <c r="AG42" s="74"/>
      <c r="AH42" s="49" t="s">
        <v>48</v>
      </c>
      <c r="AI42" s="49" t="s">
        <v>79</v>
      </c>
      <c r="AJ42" s="49" t="s">
        <v>74</v>
      </c>
      <c r="AK42" s="49" t="s">
        <v>77</v>
      </c>
      <c r="AL42" s="49" t="s">
        <v>75</v>
      </c>
      <c r="AM42" s="49" t="s">
        <v>84</v>
      </c>
      <c r="AN42" s="49" t="s">
        <v>78</v>
      </c>
      <c r="AO42" s="49" t="s">
        <v>82</v>
      </c>
      <c r="AP42" s="49" t="s">
        <v>83</v>
      </c>
      <c r="AQ42" s="49" t="s">
        <v>370</v>
      </c>
      <c r="AR42" s="49" t="s">
        <v>81</v>
      </c>
      <c r="AS42" s="49" t="s">
        <v>76</v>
      </c>
      <c r="AT42" s="49"/>
      <c r="AU42" s="74"/>
      <c r="AV42" s="49" t="s">
        <v>48</v>
      </c>
      <c r="AW42" s="49" t="s">
        <v>79</v>
      </c>
      <c r="AX42" s="49" t="s">
        <v>74</v>
      </c>
      <c r="AY42" s="49" t="s">
        <v>77</v>
      </c>
      <c r="AZ42" s="49" t="s">
        <v>75</v>
      </c>
      <c r="BA42" s="49" t="s">
        <v>84</v>
      </c>
      <c r="BB42" s="49" t="s">
        <v>78</v>
      </c>
      <c r="BC42" s="49" t="s">
        <v>82</v>
      </c>
      <c r="BD42" s="49" t="s">
        <v>83</v>
      </c>
      <c r="BE42" s="49" t="s">
        <v>370</v>
      </c>
      <c r="BF42" s="49" t="s">
        <v>81</v>
      </c>
      <c r="BG42" s="49" t="s">
        <v>76</v>
      </c>
      <c r="BH42" s="49"/>
      <c r="BI42" s="74"/>
      <c r="BJ42" s="49" t="s">
        <v>48</v>
      </c>
      <c r="BK42" s="49" t="s">
        <v>79</v>
      </c>
      <c r="BL42" s="49" t="s">
        <v>74</v>
      </c>
      <c r="BM42" s="49" t="s">
        <v>77</v>
      </c>
      <c r="BN42" s="49" t="s">
        <v>75</v>
      </c>
      <c r="BO42" s="49" t="s">
        <v>84</v>
      </c>
      <c r="BP42" s="49" t="s">
        <v>78</v>
      </c>
      <c r="BQ42" s="49" t="s">
        <v>82</v>
      </c>
      <c r="BR42" s="49" t="s">
        <v>83</v>
      </c>
      <c r="BS42" s="49" t="s">
        <v>370</v>
      </c>
      <c r="BT42" s="49" t="s">
        <v>81</v>
      </c>
      <c r="BU42" s="49" t="s">
        <v>76</v>
      </c>
      <c r="BV42" s="49"/>
      <c r="BW42" s="74"/>
      <c r="BX42" s="49" t="s">
        <v>48</v>
      </c>
      <c r="BY42" s="49" t="s">
        <v>79</v>
      </c>
      <c r="BZ42" s="49" t="s">
        <v>74</v>
      </c>
      <c r="CA42" s="49" t="s">
        <v>77</v>
      </c>
      <c r="CB42" s="49" t="s">
        <v>75</v>
      </c>
      <c r="CC42" s="49" t="s">
        <v>84</v>
      </c>
      <c r="CD42" s="49" t="s">
        <v>78</v>
      </c>
      <c r="CE42" s="49" t="s">
        <v>82</v>
      </c>
      <c r="CF42" s="49" t="s">
        <v>83</v>
      </c>
      <c r="CG42" s="49" t="s">
        <v>370</v>
      </c>
      <c r="CH42" s="49" t="s">
        <v>81</v>
      </c>
      <c r="CI42" s="49" t="s">
        <v>76</v>
      </c>
      <c r="CJ42" s="49"/>
      <c r="CK42" s="74"/>
      <c r="CL42" s="49" t="s">
        <v>48</v>
      </c>
      <c r="CM42" s="49" t="s">
        <v>79</v>
      </c>
      <c r="CN42" s="49" t="s">
        <v>74</v>
      </c>
      <c r="CO42" s="49" t="s">
        <v>77</v>
      </c>
      <c r="CP42" s="49" t="s">
        <v>75</v>
      </c>
      <c r="CQ42" s="49" t="s">
        <v>84</v>
      </c>
      <c r="CR42" s="49" t="s">
        <v>78</v>
      </c>
      <c r="CS42" s="49" t="s">
        <v>82</v>
      </c>
      <c r="CT42" s="49" t="s">
        <v>83</v>
      </c>
      <c r="CU42" s="49" t="s">
        <v>370</v>
      </c>
      <c r="CV42" s="49" t="s">
        <v>81</v>
      </c>
      <c r="CW42" s="49" t="s">
        <v>76</v>
      </c>
      <c r="CX42" s="49"/>
      <c r="CY42" s="74"/>
      <c r="CZ42" s="49" t="s">
        <v>48</v>
      </c>
      <c r="DA42" s="49" t="s">
        <v>79</v>
      </c>
      <c r="DB42" s="49" t="s">
        <v>74</v>
      </c>
      <c r="DC42" s="49" t="s">
        <v>77</v>
      </c>
      <c r="DD42" s="49" t="s">
        <v>75</v>
      </c>
      <c r="DE42" s="49" t="s">
        <v>84</v>
      </c>
      <c r="DF42" s="49" t="s">
        <v>78</v>
      </c>
      <c r="DG42" s="49" t="s">
        <v>82</v>
      </c>
      <c r="DH42" s="49" t="s">
        <v>83</v>
      </c>
      <c r="DI42" s="49" t="s">
        <v>370</v>
      </c>
      <c r="DJ42" s="49" t="s">
        <v>81</v>
      </c>
      <c r="DK42" s="49" t="s">
        <v>76</v>
      </c>
      <c r="DL42" s="49"/>
      <c r="DM42" s="74"/>
      <c r="DN42" s="49" t="s">
        <v>48</v>
      </c>
      <c r="DO42" s="49" t="s">
        <v>79</v>
      </c>
      <c r="DP42" s="49" t="s">
        <v>74</v>
      </c>
      <c r="DQ42" s="49" t="s">
        <v>77</v>
      </c>
      <c r="DR42" s="49" t="s">
        <v>75</v>
      </c>
      <c r="DS42" s="49" t="s">
        <v>84</v>
      </c>
      <c r="DT42" s="49" t="s">
        <v>78</v>
      </c>
      <c r="DU42" s="49" t="s">
        <v>82</v>
      </c>
      <c r="DV42" s="49" t="s">
        <v>83</v>
      </c>
      <c r="DW42" s="49" t="s">
        <v>370</v>
      </c>
      <c r="DX42" s="49" t="s">
        <v>81</v>
      </c>
      <c r="DY42" s="49" t="s">
        <v>76</v>
      </c>
      <c r="DZ42" s="49"/>
      <c r="EA42" s="74"/>
    </row>
    <row r="43" spans="1:145" ht="32.1" customHeight="1">
      <c r="A43" s="131"/>
      <c r="B43" s="96" t="str">
        <f>VLOOKUP("STK",Sprachindex!A:Z,Info!$O$6,FALSE)</f>
        <v>STK</v>
      </c>
      <c r="C43" s="95"/>
      <c r="D43" s="95">
        <f>IF($N$24=1,AF43,IF($N$24=2,AT43,IF($N$24=3,BH43,IF($N$24=4,BV43,0))))</f>
        <v>0</v>
      </c>
      <c r="E43" s="250" t="str">
        <f>VLOOKUP("Rinnenendboden",Sprachindex!A:Z,Info!$O$6,FALSE)</f>
        <v>Rinnenendboden</v>
      </c>
      <c r="F43" s="251"/>
      <c r="G43" s="251"/>
      <c r="H43" s="251"/>
      <c r="I43" s="251"/>
      <c r="J43" s="307" t="str">
        <f>IF(N24=5,Formeln!A174,Formeln!A180)</f>
        <v/>
      </c>
      <c r="K43" s="308"/>
      <c r="L43" s="96" t="str">
        <f t="shared" si="1"/>
        <v xml:space="preserve"> </v>
      </c>
      <c r="M43" s="130"/>
      <c r="N43" s="87"/>
      <c r="O43" s="1"/>
      <c r="P43" s="191" t="e">
        <f>ROUNDUP($A43/R43,0)*R43 &amp; "  " &amp; Formeln!$A$111</f>
        <v>#VALUE!</v>
      </c>
      <c r="Q43" s="191" t="str">
        <f>ROUNDUP($A43/S43,0)*S43 &amp; "  " &amp; Formeln!$A$111</f>
        <v>0  STK</v>
      </c>
      <c r="R43" s="191" t="str">
        <f>IF($N$24="","",IF($N$24=5,"",50))</f>
        <v/>
      </c>
      <c r="S43" s="191">
        <v>1</v>
      </c>
      <c r="T43" s="64">
        <v>517022</v>
      </c>
      <c r="U43" s="64">
        <v>517025</v>
      </c>
      <c r="V43" s="64">
        <v>517015</v>
      </c>
      <c r="W43" s="64">
        <v>517026</v>
      </c>
      <c r="X43" s="64">
        <v>517020</v>
      </c>
      <c r="Y43" s="64">
        <v>517021</v>
      </c>
      <c r="Z43" s="64">
        <v>517027</v>
      </c>
      <c r="AA43" s="64">
        <v>517024</v>
      </c>
      <c r="AB43" s="64">
        <v>517037</v>
      </c>
      <c r="AC43" s="64">
        <v>517043</v>
      </c>
      <c r="AD43" s="64">
        <v>517042</v>
      </c>
      <c r="AE43" s="71">
        <v>517045</v>
      </c>
      <c r="AF43" s="74">
        <f t="shared" ref="AF43:AF50" si="2">IF($N$21=1,V43,IF($N$21=2,X43,IF($N$21=3,W43,IF($N$21=4,Z43,IF($N$21=5,AA43,IF($N$21=6,U43,IF($N$21=7,AB43,IF($N$21=8,AC43,IF($N$21=9,T43,0)))))))))</f>
        <v>0</v>
      </c>
      <c r="AG43" s="74" t="s">
        <v>408</v>
      </c>
      <c r="AH43" s="64">
        <v>517001</v>
      </c>
      <c r="AI43" s="64">
        <v>517004</v>
      </c>
      <c r="AJ43" s="64">
        <v>517003</v>
      </c>
      <c r="AK43" s="64">
        <v>517017</v>
      </c>
      <c r="AL43" s="64">
        <v>517005</v>
      </c>
      <c r="AM43" s="64">
        <v>517016</v>
      </c>
      <c r="AN43" s="64">
        <v>517028</v>
      </c>
      <c r="AO43" s="64">
        <v>517018</v>
      </c>
      <c r="AP43" s="64">
        <v>517038</v>
      </c>
      <c r="AQ43" s="64">
        <v>517044</v>
      </c>
      <c r="AR43" s="64">
        <v>517041</v>
      </c>
      <c r="AS43" s="71">
        <v>517046</v>
      </c>
      <c r="AT43" s="74">
        <f>IF($N$21=1,AJ43,IF($N$21=2,AL43,IF($N$21=3,AK43,IF($N$21=4,AN43,IF($N$21=5,AO43,IF($N$21=6,AI43,IF($N$21=7,AP43,IF($N$21=8,AQ43,IF($N$21=9,AH43,0)))))))))</f>
        <v>0</v>
      </c>
      <c r="AU43" s="74" t="s">
        <v>409</v>
      </c>
      <c r="AV43" s="64">
        <v>517006</v>
      </c>
      <c r="AW43" s="64">
        <v>517007</v>
      </c>
      <c r="AX43" s="64">
        <v>517002</v>
      </c>
      <c r="AY43" s="64">
        <v>517014</v>
      </c>
      <c r="AZ43" s="64">
        <v>517008</v>
      </c>
      <c r="BA43" s="64">
        <v>517013</v>
      </c>
      <c r="BB43" s="64">
        <v>517029</v>
      </c>
      <c r="BC43" s="64">
        <v>517019</v>
      </c>
      <c r="BD43" s="64">
        <v>517030</v>
      </c>
      <c r="BE43" s="64">
        <v>517039</v>
      </c>
      <c r="BF43" s="64">
        <v>517040</v>
      </c>
      <c r="BG43" s="71">
        <v>517047</v>
      </c>
      <c r="BH43" s="74">
        <f>IF($N$21=1,AX43,IF($N$21=2,AZ43,IF($N$21=3,AY43,IF($N$21=4,BB43,IF($N$21=5,BC43,IF($N$21=6,AW43,IF($N$21=7,BD43,IF($N$21=8,BE43,IF($N$21=9,AV43,0)))))))))</f>
        <v>0</v>
      </c>
      <c r="BI43" s="74" t="s">
        <v>410</v>
      </c>
      <c r="BJ43" s="64">
        <v>517009</v>
      </c>
      <c r="BK43" s="64">
        <v>517010</v>
      </c>
      <c r="BL43" s="64">
        <v>517011</v>
      </c>
      <c r="BM43" s="71"/>
      <c r="BN43" s="64">
        <v>517012</v>
      </c>
      <c r="BO43" s="71">
        <v>517052</v>
      </c>
      <c r="BP43" s="71"/>
      <c r="BQ43" s="71">
        <v>517050</v>
      </c>
      <c r="BR43" s="71"/>
      <c r="BS43" s="71">
        <v>517053</v>
      </c>
      <c r="BT43" s="71">
        <v>517051</v>
      </c>
      <c r="BU43" s="71"/>
      <c r="BV43" s="74">
        <f>IF($N$21=1,BL43,IF($N$21=2,BN43,IF($N$21=3,BM43,IF($N$21=4,BP43,IF($N$21=5,BQ43,IF($N$21=6,BK43,IF($N$21=7,BR43,IF($N$21=8,BS43,IF($N$21=9,BJ43,0)))))))))</f>
        <v>0</v>
      </c>
      <c r="BW43" s="74" t="s">
        <v>411</v>
      </c>
    </row>
    <row r="44" spans="1:145" ht="32.1" customHeight="1">
      <c r="A44" s="131"/>
      <c r="B44" s="96" t="str">
        <f>VLOOKUP("STK",Sprachindex!A:Z,Info!$O$6,FALSE)</f>
        <v>STK</v>
      </c>
      <c r="C44" s="95"/>
      <c r="D44" s="95" t="str">
        <f>IF($N$24=3,AF44,"")</f>
        <v/>
      </c>
      <c r="E44" s="250" t="str">
        <f>VLOOKUP("Kugelendboden",Sprachindex!A:Z,Info!$O$6,FALSE)</f>
        <v>Kugelendboden</v>
      </c>
      <c r="F44" s="251"/>
      <c r="G44" s="251"/>
      <c r="H44" s="251"/>
      <c r="I44" s="251"/>
      <c r="J44" s="307" t="str">
        <f>IF(N24=0,"",IF(N24=3,G27,Formeln!A174))</f>
        <v/>
      </c>
      <c r="K44" s="308"/>
      <c r="L44" s="96" t="str">
        <f t="shared" si="1"/>
        <v xml:space="preserve"> </v>
      </c>
      <c r="M44" s="130"/>
      <c r="N44" s="87"/>
      <c r="O44" s="1"/>
      <c r="P44" s="191" t="e">
        <f>ROUNDUP($A44/R44,0)*R44 &amp; "  " &amp; Formeln!$A$111</f>
        <v>#VALUE!</v>
      </c>
      <c r="Q44" s="191" t="str">
        <f>ROUNDUP($A44/S44,0)*S44 &amp; "  " &amp; Formeln!$A$111</f>
        <v>0  STK</v>
      </c>
      <c r="R44" s="191" t="str">
        <f>IF($N$24=3,4,"")</f>
        <v/>
      </c>
      <c r="S44" s="191">
        <v>1</v>
      </c>
      <c r="T44" s="64">
        <v>617004</v>
      </c>
      <c r="U44" s="64">
        <v>617006</v>
      </c>
      <c r="V44" s="64">
        <v>617007</v>
      </c>
      <c r="W44" s="71"/>
      <c r="X44" s="64">
        <v>617005</v>
      </c>
      <c r="Y44" s="71"/>
      <c r="Z44" s="71"/>
      <c r="AA44" s="71"/>
      <c r="AB44" s="71"/>
      <c r="AC44" s="71"/>
      <c r="AD44" s="71"/>
      <c r="AE44" s="71"/>
      <c r="AF44" s="74">
        <f t="shared" si="2"/>
        <v>0</v>
      </c>
      <c r="AG44" s="74" t="s">
        <v>410</v>
      </c>
    </row>
    <row r="45" spans="1:145" ht="32.1" customHeight="1">
      <c r="A45" s="131"/>
      <c r="B45" s="96" t="str">
        <f>VLOOKUP("STK",Sprachindex!A:Z,Info!$O$6,FALSE)</f>
        <v>STK</v>
      </c>
      <c r="C45" s="95"/>
      <c r="D45" s="95">
        <f>IF($N$24=1,AF45,IF($N$24=2,AT45,IF($N$24=3,BH45,IF($N$24=4,BV45,0))))</f>
        <v>0</v>
      </c>
      <c r="E45" s="250" t="str">
        <f>VLOOKUP("Klebeendboden",Sprachindex!A:Z,Info!$O$6,FALSE)</f>
        <v>Klebeendboden</v>
      </c>
      <c r="F45" s="251"/>
      <c r="G45" s="251"/>
      <c r="H45" s="251"/>
      <c r="I45" s="251"/>
      <c r="J45" s="307" t="str">
        <f>IF(N24=0,"",IF(N24=3,G27,Formeln!A174))</f>
        <v/>
      </c>
      <c r="K45" s="308"/>
      <c r="L45" s="96" t="str">
        <f t="shared" si="1"/>
        <v xml:space="preserve"> </v>
      </c>
      <c r="M45" s="130"/>
      <c r="N45" s="87"/>
      <c r="O45" s="1"/>
      <c r="P45" s="191" t="e">
        <f>ROUNDUP($A45/R45,0)*R45 &amp; "  " &amp; Formeln!$A$111</f>
        <v>#VALUE!</v>
      </c>
      <c r="Q45" s="191" t="str">
        <f>ROUNDUP($A45/S45,0)*S45 &amp; "  " &amp; Formeln!$A$111</f>
        <v>0  STK</v>
      </c>
      <c r="R45" s="191" t="str">
        <f>IF($N$24=3,2,"")</f>
        <v/>
      </c>
      <c r="S45" s="191">
        <v>1</v>
      </c>
      <c r="T45" s="64"/>
      <c r="U45" s="64"/>
      <c r="V45" s="64"/>
      <c r="X45" s="64"/>
      <c r="AE45" s="71"/>
      <c r="AF45" s="74">
        <f t="shared" si="2"/>
        <v>0</v>
      </c>
      <c r="AG45" s="74"/>
    </row>
    <row r="46" spans="1:145" ht="32.1" customHeight="1">
      <c r="A46" s="131"/>
      <c r="B46" s="96" t="str">
        <f>VLOOKUP("STK",Sprachindex!A:Z,Info!$O$6,FALSE)</f>
        <v>STK</v>
      </c>
      <c r="C46" s="95"/>
      <c r="D46" s="95">
        <f>IF($N$24=1,AF46,IF($N$24=2,AT46,IF($N$24=3,BH46,IF($N$24=4,BV46,0))))</f>
        <v>0</v>
      </c>
      <c r="E46" s="250" t="str">
        <f>VLOOKUP("Rinnenwinkel, außen ",Sprachindex!A:Z,Info!$O$6,FALSE)</f>
        <v xml:space="preserve">Rinnenwinkel, außen </v>
      </c>
      <c r="F46" s="251"/>
      <c r="G46" s="251"/>
      <c r="H46" s="251"/>
      <c r="I46" s="251"/>
      <c r="J46" s="307" t="str">
        <f>Formeln!A180</f>
        <v/>
      </c>
      <c r="K46" s="308"/>
      <c r="L46" s="96" t="str">
        <f t="shared" si="1"/>
        <v xml:space="preserve"> </v>
      </c>
      <c r="M46" s="130"/>
      <c r="N46" s="87"/>
      <c r="O46" s="1"/>
      <c r="P46" s="191" t="e">
        <f>ROUNDUP($A46/R46,0)*R46 &amp; "  " &amp; Formeln!$A$111</f>
        <v>#VALUE!</v>
      </c>
      <c r="Q46" s="191" t="str">
        <f>ROUNDUP($A46/S46,0)*S46 &amp; "  " &amp; Formeln!$A$111</f>
        <v>0  STK</v>
      </c>
      <c r="R46" s="191" t="str">
        <f>IF($N$24=1,4,IF($N$24=2,4,IF($N$24=3,4,IF($N$24=4,2,""))))</f>
        <v/>
      </c>
      <c r="S46" s="191">
        <v>1</v>
      </c>
      <c r="T46" s="64">
        <v>518033</v>
      </c>
      <c r="U46" s="64">
        <v>518070</v>
      </c>
      <c r="V46" s="64">
        <v>518035</v>
      </c>
      <c r="W46" s="64">
        <v>518072</v>
      </c>
      <c r="X46" s="64">
        <v>518047</v>
      </c>
      <c r="Y46" s="64">
        <v>518049</v>
      </c>
      <c r="Z46" s="64">
        <v>518064</v>
      </c>
      <c r="AA46" s="64">
        <v>518071</v>
      </c>
      <c r="AB46" s="64">
        <v>518067</v>
      </c>
      <c r="AC46" s="64">
        <v>518088</v>
      </c>
      <c r="AD46" s="64">
        <v>518082</v>
      </c>
      <c r="AE46" s="71">
        <v>518092</v>
      </c>
      <c r="AF46" s="74">
        <f t="shared" si="2"/>
        <v>0</v>
      </c>
      <c r="AG46" s="74" t="s">
        <v>408</v>
      </c>
      <c r="AH46" s="64">
        <v>518010</v>
      </c>
      <c r="AI46" s="64">
        <v>518011</v>
      </c>
      <c r="AJ46" s="64">
        <v>518012</v>
      </c>
      <c r="AK46" s="64">
        <v>518039</v>
      </c>
      <c r="AL46" s="64">
        <v>518025</v>
      </c>
      <c r="AM46" s="64">
        <v>518037</v>
      </c>
      <c r="AN46" s="64">
        <v>518059</v>
      </c>
      <c r="AO46" s="64">
        <v>518041</v>
      </c>
      <c r="AP46" s="64">
        <v>518065</v>
      </c>
      <c r="AQ46" s="64">
        <v>518090</v>
      </c>
      <c r="AR46" s="64">
        <v>518084</v>
      </c>
      <c r="AS46" s="71">
        <v>518094</v>
      </c>
      <c r="AT46" s="74">
        <f>IF($N$21=1,AJ46,IF($N$21=2,AL46,IF($N$21=3,AK46,IF($N$21=4,AN46,IF($N$21=5,AO46,IF($N$21=6,AI46,IF($N$21=7,AP46,IF($N$21=8,AQ46,IF($N$21=9,AH46,0)))))))))</f>
        <v>0</v>
      </c>
      <c r="AU46" s="74" t="s">
        <v>409</v>
      </c>
      <c r="AV46" s="64">
        <v>518013</v>
      </c>
      <c r="AW46" s="64">
        <v>518014</v>
      </c>
      <c r="AX46" s="64">
        <v>518015</v>
      </c>
      <c r="AY46" s="64">
        <v>518031</v>
      </c>
      <c r="AZ46" s="64">
        <v>518016</v>
      </c>
      <c r="BA46" s="64">
        <v>518029</v>
      </c>
      <c r="BB46" s="64">
        <v>518045</v>
      </c>
      <c r="BC46" s="64">
        <v>518043</v>
      </c>
      <c r="BD46" s="64">
        <v>518050</v>
      </c>
      <c r="BE46" s="64">
        <v>518079</v>
      </c>
      <c r="BF46" s="64">
        <v>518086</v>
      </c>
      <c r="BG46" s="71">
        <v>518096</v>
      </c>
      <c r="BH46" s="74">
        <f>IF($N$21=1,AX46,IF($N$21=2,AZ46,IF($N$21=3,AY46,IF($N$21=4,BB46,IF($N$21=5,BC46,IF($N$21=6,AW46,IF($N$21=7,BD46,IF($N$21=8,BE46,IF($N$21=9,AV46,0)))))))))</f>
        <v>0</v>
      </c>
      <c r="BI46" s="74" t="s">
        <v>410</v>
      </c>
      <c r="BJ46" s="64">
        <v>518017</v>
      </c>
      <c r="BK46" s="64">
        <v>518018</v>
      </c>
      <c r="BL46" s="64">
        <v>518022</v>
      </c>
      <c r="BM46" s="71"/>
      <c r="BN46" s="64">
        <v>518027</v>
      </c>
      <c r="BO46" s="71">
        <v>518202</v>
      </c>
      <c r="BP46" s="71"/>
      <c r="BQ46" s="71">
        <v>518200</v>
      </c>
      <c r="BR46" s="71"/>
      <c r="BS46" s="71">
        <v>518203</v>
      </c>
      <c r="BT46" s="71">
        <v>518201</v>
      </c>
      <c r="BU46" s="71"/>
      <c r="BV46" s="74">
        <f>IF($N$21=1,BL46,IF($N$21=2,BN46,IF($N$21=3,BM46,IF($N$21=4,BP46,IF($N$21=5,BQ46,IF($N$21=6,BK46,IF($N$21=7,BR46,IF($N$21=8,BS46,IF($N$21=9,BJ46,0)))))))))</f>
        <v>0</v>
      </c>
      <c r="BW46" s="74" t="s">
        <v>411</v>
      </c>
    </row>
    <row r="47" spans="1:145" ht="32.1" customHeight="1">
      <c r="A47" s="131"/>
      <c r="B47" s="96" t="str">
        <f>VLOOKUP("STK",Sprachindex!A:Z,Info!$O$6,FALSE)</f>
        <v>STK</v>
      </c>
      <c r="C47" s="95"/>
      <c r="D47" s="95">
        <f>IF($N$24=1,AF47,IF($N$24=2,AT47,IF($N$24=3,BH47,IF($N$24=4,BV47,0))))</f>
        <v>0</v>
      </c>
      <c r="E47" s="250" t="str">
        <f>VLOOKUP("Rinnenwinkel, innen",Sprachindex!A:Z,Info!$O$6,FALSE)</f>
        <v>Rinnenwinkel, innen</v>
      </c>
      <c r="F47" s="251"/>
      <c r="G47" s="251"/>
      <c r="H47" s="251"/>
      <c r="I47" s="251"/>
      <c r="J47" s="307" t="str">
        <f>Formeln!A180</f>
        <v/>
      </c>
      <c r="K47" s="308"/>
      <c r="L47" s="96" t="str">
        <f t="shared" si="1"/>
        <v xml:space="preserve"> </v>
      </c>
      <c r="M47" s="130"/>
      <c r="N47" s="87"/>
      <c r="O47" s="1"/>
      <c r="P47" s="191" t="e">
        <f>ROUNDUP($A47/R47,0)*R47 &amp; "  " &amp; Formeln!$A$111</f>
        <v>#VALUE!</v>
      </c>
      <c r="Q47" s="191" t="str">
        <f>ROUNDUP($A47/S47,0)*S47 &amp; "  " &amp; Formeln!$A$111</f>
        <v>0  STK</v>
      </c>
      <c r="R47" s="191" t="str">
        <f>IF($N$24=1,4,IF($N$24=2,4,IF($N$24=3,4,IF($N$24=4,2,""))))</f>
        <v/>
      </c>
      <c r="S47" s="191">
        <v>1</v>
      </c>
      <c r="T47" s="64">
        <v>518032</v>
      </c>
      <c r="U47" s="64">
        <v>518060</v>
      </c>
      <c r="V47" s="64">
        <v>518034</v>
      </c>
      <c r="W47" s="64">
        <v>518062</v>
      </c>
      <c r="X47" s="64">
        <v>518046</v>
      </c>
      <c r="Y47" s="64">
        <v>518048</v>
      </c>
      <c r="Z47" s="64">
        <v>518063</v>
      </c>
      <c r="AA47" s="64">
        <v>518061</v>
      </c>
      <c r="AB47" s="64">
        <v>518068</v>
      </c>
      <c r="AC47" s="64">
        <v>518087</v>
      </c>
      <c r="AD47" s="64">
        <v>518081</v>
      </c>
      <c r="AE47" s="71">
        <v>518091</v>
      </c>
      <c r="AF47" s="74">
        <f t="shared" si="2"/>
        <v>0</v>
      </c>
      <c r="AG47" s="74" t="s">
        <v>408</v>
      </c>
      <c r="AH47" s="64">
        <v>518007</v>
      </c>
      <c r="AI47" s="64">
        <v>518006</v>
      </c>
      <c r="AJ47" s="64">
        <v>518002</v>
      </c>
      <c r="AK47" s="64">
        <v>518038</v>
      </c>
      <c r="AL47" s="64">
        <v>518024</v>
      </c>
      <c r="AM47" s="64">
        <v>518036</v>
      </c>
      <c r="AN47" s="64">
        <v>518058</v>
      </c>
      <c r="AO47" s="64">
        <v>518040</v>
      </c>
      <c r="AP47" s="64">
        <v>518066</v>
      </c>
      <c r="AQ47" s="64">
        <v>518089</v>
      </c>
      <c r="AR47" s="64">
        <v>518083</v>
      </c>
      <c r="AS47" s="71">
        <v>518093</v>
      </c>
      <c r="AT47" s="74">
        <f>IF($N$21=1,AJ47,IF($N$21=2,AL47,IF($N$21=3,AK47,IF($N$21=4,AN47,IF($N$21=5,AO47,IF($N$21=6,AI47,IF($N$21=7,AP47,IF($N$21=8,AQ47,IF($N$21=9,AH47,0)))))))))</f>
        <v>0</v>
      </c>
      <c r="AU47" s="74" t="s">
        <v>409</v>
      </c>
      <c r="AV47" s="64">
        <v>518004</v>
      </c>
      <c r="AW47" s="64">
        <v>518005</v>
      </c>
      <c r="AX47" s="64">
        <v>518001</v>
      </c>
      <c r="AY47" s="64">
        <v>518030</v>
      </c>
      <c r="AZ47" s="64">
        <v>518009</v>
      </c>
      <c r="BA47" s="64">
        <v>518028</v>
      </c>
      <c r="BB47" s="64">
        <v>518044</v>
      </c>
      <c r="BC47" s="64">
        <v>518042</v>
      </c>
      <c r="BD47" s="64">
        <v>518051</v>
      </c>
      <c r="BE47" s="64">
        <v>518080</v>
      </c>
      <c r="BF47" s="64">
        <v>518085</v>
      </c>
      <c r="BG47" s="71">
        <v>518095</v>
      </c>
      <c r="BH47" s="74">
        <f>IF($N$21=1,AX47,IF($N$21=2,AZ47,IF($N$21=3,AY47,IF($N$21=4,BB47,IF($N$21=5,BC47,IF($N$21=6,AW47,IF($N$21=7,BD47,IF($N$21=8,BE47,IF($N$21=9,AV47,0)))))))))</f>
        <v>0</v>
      </c>
      <c r="BI47" s="74" t="s">
        <v>410</v>
      </c>
      <c r="BJ47" s="64">
        <v>518003</v>
      </c>
      <c r="BK47" s="64">
        <v>518008</v>
      </c>
      <c r="BL47" s="64">
        <v>518023</v>
      </c>
      <c r="BM47" s="71"/>
      <c r="BN47" s="64">
        <v>518026</v>
      </c>
      <c r="BO47" s="71">
        <v>518206</v>
      </c>
      <c r="BP47" s="71"/>
      <c r="BQ47" s="71">
        <v>518204</v>
      </c>
      <c r="BR47" s="71"/>
      <c r="BS47" s="71">
        <v>518207</v>
      </c>
      <c r="BT47" s="71">
        <v>518205</v>
      </c>
      <c r="BU47" s="71"/>
      <c r="BV47" s="74">
        <f>IF($N$21=1,BL47,IF($N$21=2,BN47,IF($N$21=3,BM47,IF($N$21=4,BP47,IF($N$21=5,BQ47,IF($N$21=6,BK47,IF($N$21=7,BR47,IF($N$21=8,BS47,IF($N$21=9,BJ47,0)))))))))</f>
        <v>0</v>
      </c>
      <c r="BW47" s="74" t="s">
        <v>411</v>
      </c>
    </row>
    <row r="48" spans="1:145" ht="32.1" customHeight="1">
      <c r="A48" s="131"/>
      <c r="B48" s="96" t="str">
        <f>VLOOKUP("STK",Sprachindex!A:Z,Info!$O$6,FALSE)</f>
        <v>STK</v>
      </c>
      <c r="C48" s="99"/>
      <c r="D48" s="99">
        <f>IF(AND($N$24=1,$N$25=2),AT48,IF(AND($N$24=2,$N$25=2),BH48,IF(AND($N$24=2,$N$25=3),BV48,IF(AND($N$24=3,$N$25=2),CJ48,IF(AND($N$24=3,$N$25=3),CX48,IF(AND($N$24=3,$N$25=4),DL48,IF(AND($N$24=4,$N$25=4),DZ48,IF(AND($N$24=4,$N$25=5),EN48,IF(AND($N$24=1,$N$25=1),AF48,0)))))))))</f>
        <v>0</v>
      </c>
      <c r="E48" s="250" t="str">
        <f>VLOOKUP("Rinnenkessel",Sprachindex!A:Z,Info!$O$6,FALSE)</f>
        <v>Rinnenkessel</v>
      </c>
      <c r="F48" s="251"/>
      <c r="G48" s="251"/>
      <c r="H48" s="251"/>
      <c r="I48" s="251"/>
      <c r="J48" s="307" t="str">
        <f>Formeln!A196</f>
        <v/>
      </c>
      <c r="K48" s="308"/>
      <c r="L48" s="96" t="str">
        <f t="shared" si="1"/>
        <v xml:space="preserve"> </v>
      </c>
      <c r="M48" s="130"/>
      <c r="N48" s="87"/>
      <c r="O48" s="1"/>
      <c r="P48" s="191" t="e">
        <f>ROUNDUP($A48/R48,0)*R48 &amp; "  " &amp; Formeln!$A$111</f>
        <v>#VALUE!</v>
      </c>
      <c r="Q48" s="191" t="str">
        <f>ROUNDUP($A48/S48,0)*S48 &amp; "  " &amp; Formeln!$A$111</f>
        <v>0  STK</v>
      </c>
      <c r="R48" s="191" t="str">
        <f>IF(AND($N$24=1,$N$25=1),4,IF(AND($N$24=1,$N$25=2),5,IF(AND($N$24=2,$N$25=2),10,IF(AND($N$24=2,$N$25=3),10,IF(AND($N$24=3,$N$25=2),10,IF(AND($N$24=3,$N$25=3),10,IF(AND($N$24=3,$N$25=4),5,IF(AND($N$24=4,$N$25=4),3,IF(AND($N$24=4,$N$25=5),1,"")))))))))</f>
        <v/>
      </c>
      <c r="S48" s="191">
        <v>1</v>
      </c>
      <c r="T48" s="64" t="s">
        <v>412</v>
      </c>
      <c r="U48" s="64" t="s">
        <v>413</v>
      </c>
      <c r="V48" s="64" t="s">
        <v>414</v>
      </c>
      <c r="W48" s="64"/>
      <c r="X48" s="64" t="s">
        <v>415</v>
      </c>
      <c r="Y48" s="64"/>
      <c r="Z48" s="64"/>
      <c r="AA48" s="64"/>
      <c r="AB48" s="64"/>
      <c r="AC48" s="64"/>
      <c r="AD48" s="64"/>
      <c r="AE48" s="71"/>
      <c r="AF48" s="74">
        <f t="shared" si="2"/>
        <v>0</v>
      </c>
      <c r="AG48" s="74" t="s">
        <v>416</v>
      </c>
      <c r="AH48" s="64">
        <v>519027</v>
      </c>
      <c r="AI48" s="64">
        <v>519046</v>
      </c>
      <c r="AJ48" s="64">
        <v>519028</v>
      </c>
      <c r="AK48" s="64">
        <v>519048</v>
      </c>
      <c r="AL48" s="64">
        <v>519040</v>
      </c>
      <c r="AM48" s="64">
        <v>519041</v>
      </c>
      <c r="AN48" s="64">
        <v>519053</v>
      </c>
      <c r="AO48" s="64">
        <v>519047</v>
      </c>
      <c r="AP48" s="64">
        <v>519058</v>
      </c>
      <c r="AQ48" s="64">
        <v>519079</v>
      </c>
      <c r="AR48" s="64">
        <v>519073</v>
      </c>
      <c r="AS48" s="71">
        <v>519091</v>
      </c>
      <c r="AT48" s="74">
        <f>IF($N$21=1,AJ48,IF($N$21=2,AL48,IF($N$21=3,AK48,IF($N$21=4,AN48,IF($N$21=5,AO48,IF($N$21=6,AI48,IF($N$21=7,AP48,IF($N$21=8,AQ48,IF($N$21=9,AH48,0)))))))))</f>
        <v>0</v>
      </c>
      <c r="AU48" s="74" t="s">
        <v>417</v>
      </c>
      <c r="AV48" s="64">
        <v>519010</v>
      </c>
      <c r="AW48" s="64">
        <v>519021</v>
      </c>
      <c r="AX48" s="64">
        <v>519020</v>
      </c>
      <c r="AY48" s="64">
        <v>519031</v>
      </c>
      <c r="AZ48" s="64">
        <v>519022</v>
      </c>
      <c r="BA48" s="64">
        <v>519029</v>
      </c>
      <c r="BB48" s="64">
        <v>519050</v>
      </c>
      <c r="BC48" s="64">
        <v>519035</v>
      </c>
      <c r="BD48" s="64">
        <v>519059</v>
      </c>
      <c r="BE48" s="64">
        <v>519080</v>
      </c>
      <c r="BF48" s="64">
        <v>519074</v>
      </c>
      <c r="BG48" s="71">
        <v>519092</v>
      </c>
      <c r="BH48" s="74">
        <f>IF($N$21=1,AX48,IF($N$21=2,AZ48,IF($N$21=3,AY48,IF($N$21=4,BB48,IF($N$21=5,BC48,IF($N$21=6,AW48,IF($N$21=7,BD48,IF($N$21=8,BE48,IF($N$21=9,AV48,0)))))))))</f>
        <v>0</v>
      </c>
      <c r="BI48" s="74" t="s">
        <v>418</v>
      </c>
      <c r="BJ48" s="64">
        <v>519011</v>
      </c>
      <c r="BK48" s="64">
        <v>519001</v>
      </c>
      <c r="BL48" s="64">
        <v>519015</v>
      </c>
      <c r="BM48" s="64">
        <v>519032</v>
      </c>
      <c r="BN48" s="64">
        <v>519017</v>
      </c>
      <c r="BO48" s="64">
        <v>519030</v>
      </c>
      <c r="BP48" s="64">
        <v>519051</v>
      </c>
      <c r="BQ48" s="64">
        <v>519036</v>
      </c>
      <c r="BR48" s="64">
        <v>519060</v>
      </c>
      <c r="BS48" s="64">
        <v>519081</v>
      </c>
      <c r="BT48" s="64">
        <v>519075</v>
      </c>
      <c r="BU48" s="71">
        <v>519093</v>
      </c>
      <c r="BV48" s="74">
        <f>IF($N$21=1,BL48,IF($N$21=2,BN48,IF($N$21=3,BM48,IF($N$21=4,BP48,IF($N$21=5,BQ48,IF($N$21=6,BK48,IF($N$21=7,BR48,IF($N$21=8,BS48,IF($N$21=9,BJ48,0)))))))))</f>
        <v>0</v>
      </c>
      <c r="BW48" s="74" t="s">
        <v>419</v>
      </c>
      <c r="BX48" s="64">
        <v>519063</v>
      </c>
      <c r="BY48" s="64">
        <v>519066</v>
      </c>
      <c r="BZ48" s="64">
        <v>519064</v>
      </c>
      <c r="CA48" s="64">
        <v>519069</v>
      </c>
      <c r="CB48" s="64">
        <v>519065</v>
      </c>
      <c r="CC48" s="64">
        <v>519067</v>
      </c>
      <c r="CD48" s="64">
        <v>519070</v>
      </c>
      <c r="CE48" s="64">
        <v>519068</v>
      </c>
      <c r="CF48" s="64">
        <v>519071</v>
      </c>
      <c r="CG48" s="64">
        <v>519082</v>
      </c>
      <c r="CH48" s="64">
        <v>519076</v>
      </c>
      <c r="CI48" s="71">
        <v>519094</v>
      </c>
      <c r="CJ48" s="74">
        <f>IF($N$21=1,BZ48,IF($N$21=2,CB48,IF($N$21=3,CA48,IF($N$21=4,CD48,IF($N$21=5,CE48,IF($N$21=6,BY48,IF($N$21=7,CF48,IF($N$21=8,CG48,IF($N$21=9,BX48,0)))))))))</f>
        <v>0</v>
      </c>
      <c r="CK48" s="74" t="s">
        <v>420</v>
      </c>
      <c r="CL48" s="64">
        <v>519012</v>
      </c>
      <c r="CM48" s="64">
        <v>519004</v>
      </c>
      <c r="CN48" s="64">
        <v>519013</v>
      </c>
      <c r="CO48" s="64">
        <v>519026</v>
      </c>
      <c r="CP48" s="64">
        <v>519002</v>
      </c>
      <c r="CQ48" s="64">
        <v>519025</v>
      </c>
      <c r="CR48" s="64">
        <v>519049</v>
      </c>
      <c r="CS48" s="64">
        <v>519037</v>
      </c>
      <c r="CT48" s="64">
        <v>519042</v>
      </c>
      <c r="CU48" s="64">
        <v>519062</v>
      </c>
      <c r="CV48" s="64">
        <v>519077</v>
      </c>
      <c r="CW48" s="71">
        <v>519095</v>
      </c>
      <c r="CX48" s="74">
        <f>IF($N$21=1,CN48,IF($N$21=2,CP48,IF($N$21=3,CO48,IF($N$21=4,CR48,IF($N$21=5,CS48,IF($N$21=6,CM48,IF($N$21=7,CT48,IF($N$21=8,CU48,IF($N$21=9,CL48,0)))))))))</f>
        <v>0</v>
      </c>
      <c r="CY48" s="74" t="s">
        <v>421</v>
      </c>
      <c r="CZ48" s="64">
        <v>519007</v>
      </c>
      <c r="DA48" s="64">
        <v>519006</v>
      </c>
      <c r="DB48" s="64">
        <v>519014</v>
      </c>
      <c r="DC48" s="64">
        <v>519034</v>
      </c>
      <c r="DD48" s="64">
        <v>519016</v>
      </c>
      <c r="DE48" s="64">
        <v>519033</v>
      </c>
      <c r="DF48" s="64">
        <v>519052</v>
      </c>
      <c r="DG48" s="64">
        <v>519038</v>
      </c>
      <c r="DH48" s="64">
        <v>519061</v>
      </c>
      <c r="DI48" s="64">
        <v>519083</v>
      </c>
      <c r="DJ48" s="64">
        <v>519078</v>
      </c>
      <c r="DK48" s="71">
        <v>519096</v>
      </c>
      <c r="DL48" s="74">
        <f>IF($N$21=1,DB48,IF($N$21=2,DD48,IF($N$21=3,DC48,IF($N$21=4,DF48,IF($N$21=5,DG48,IF($N$21=6,DA48,IF($N$21=7,DH48,IF($N$21=8,DI48,IF($N$21=9,CZ48,0)))))))))</f>
        <v>0</v>
      </c>
      <c r="DM48" s="74" t="s">
        <v>422</v>
      </c>
      <c r="DN48" s="64">
        <v>519008</v>
      </c>
      <c r="DO48" s="64">
        <v>519005</v>
      </c>
      <c r="DP48" s="64">
        <v>519018</v>
      </c>
      <c r="DQ48" s="71"/>
      <c r="DR48" s="64">
        <v>519023</v>
      </c>
      <c r="DS48" s="71">
        <v>519086</v>
      </c>
      <c r="DT48" s="71"/>
      <c r="DU48" s="71">
        <v>519084</v>
      </c>
      <c r="DV48" s="71"/>
      <c r="DW48" s="71">
        <v>519087</v>
      </c>
      <c r="DX48" s="71">
        <v>519085</v>
      </c>
      <c r="DY48" s="71"/>
      <c r="DZ48" s="74">
        <f>IF($N$21=1,DP48,IF($N$21=2,DR48,IF($N$21=3,DQ48,IF($N$21=4,DT48,IF($N$21=5,DU48,IF($N$21=6,DO48,IF($N$21=7,DV48,IF($N$21=8,DW48,IF($N$21=9,DN48,0)))))))))</f>
        <v>0</v>
      </c>
      <c r="EA48" s="74" t="s">
        <v>423</v>
      </c>
      <c r="EB48" s="64">
        <v>519009</v>
      </c>
      <c r="EC48" s="64">
        <v>519003</v>
      </c>
      <c r="ED48" s="64">
        <v>519019</v>
      </c>
      <c r="EE48" s="71"/>
      <c r="EF48" s="64">
        <v>519024</v>
      </c>
      <c r="EG48" s="71"/>
      <c r="EH48" s="71"/>
      <c r="EI48" s="71"/>
      <c r="EJ48" s="71"/>
      <c r="EK48" s="71"/>
      <c r="EL48" s="71"/>
      <c r="EM48" s="71"/>
      <c r="EN48" s="74">
        <f>IF($N$21=1,ED48,IF($N$21=2,EF48,IF($N$21=3,EE48,IF($N$21=4,EH48,IF($N$21=5,EI48,IF($N$21=6,EC48,IF($N$21=7,EJ48,IF($N$21=8,EK48,IF($N$21=9,EB48,0)))))))))</f>
        <v>0</v>
      </c>
      <c r="EO48" s="74" t="s">
        <v>424</v>
      </c>
    </row>
    <row r="49" spans="1:131" ht="32.1" customHeight="1">
      <c r="A49" s="131"/>
      <c r="B49" s="96" t="str">
        <f>VLOOKUP("STK",Sprachindex!A:Z,Info!$O$6,FALSE)</f>
        <v>STK</v>
      </c>
      <c r="C49" s="95"/>
      <c r="D49" s="95">
        <f>IF(OR(AND(N24=1,N25=2),AND(N24=2,N25=2),AND(N24=3,N25=2)),AF49,IF(OR(AND(N24=2,N25=3),AND(N24=3,N25=3)),AT49,IF(OR(AND(N24=3,N25=4),AND(N24=4,N25=4)),BH49,0)))</f>
        <v>0</v>
      </c>
      <c r="E49" s="250" t="str">
        <f>VLOOKUP("Schrägstutzen",Sprachindex!A:Z,Info!$O$6,FALSE)</f>
        <v>Schrägstutzen</v>
      </c>
      <c r="F49" s="251"/>
      <c r="G49" s="251"/>
      <c r="H49" s="251"/>
      <c r="I49" s="251"/>
      <c r="J49" s="307" t="str">
        <f>Formeln!A199</f>
        <v/>
      </c>
      <c r="K49" s="308"/>
      <c r="L49" s="96" t="str">
        <f t="shared" si="1"/>
        <v xml:space="preserve"> </v>
      </c>
      <c r="M49" s="130"/>
      <c r="N49" s="87"/>
      <c r="O49" s="1"/>
      <c r="P49" s="191" t="e">
        <f>ROUNDUP($A49/R49,0)*R49 &amp; "  " &amp; Formeln!$A$111</f>
        <v>#VALUE!</v>
      </c>
      <c r="Q49" s="191" t="str">
        <f>ROUNDUP($A49/S49,0)*S49 &amp; "  " &amp; Formeln!$A$111</f>
        <v>0  STK</v>
      </c>
      <c r="R49" s="191" t="str">
        <f>IF(AND(OR($N$24=1,$N$24=2,$N$24=3),$N$25=2),2,IF(AND(OR($N$24=2,$N$24=3),$N$25=3),2,IF(AND(OR($N$24=3,$N$24=4),$N$25=4),2,"")))</f>
        <v/>
      </c>
      <c r="S49" s="191">
        <v>1</v>
      </c>
      <c r="T49" s="64">
        <v>520010</v>
      </c>
      <c r="U49" s="64">
        <v>520011</v>
      </c>
      <c r="V49" s="64">
        <v>520012</v>
      </c>
      <c r="W49" s="64">
        <v>520016</v>
      </c>
      <c r="X49" s="64">
        <v>520006</v>
      </c>
      <c r="Y49" s="64">
        <v>520015</v>
      </c>
      <c r="Z49" s="64">
        <v>520023</v>
      </c>
      <c r="AA49" s="64">
        <v>520017</v>
      </c>
      <c r="AB49" s="64">
        <v>520025</v>
      </c>
      <c r="AC49" s="64">
        <v>520040</v>
      </c>
      <c r="AD49" s="64">
        <v>520037</v>
      </c>
      <c r="AE49" s="71">
        <v>520042</v>
      </c>
      <c r="AF49" s="74">
        <f t="shared" si="2"/>
        <v>0</v>
      </c>
      <c r="AG49" s="74">
        <v>80</v>
      </c>
      <c r="AH49" s="64">
        <v>520004</v>
      </c>
      <c r="AI49" s="64">
        <v>520003</v>
      </c>
      <c r="AJ49" s="64">
        <v>520007</v>
      </c>
      <c r="AK49" s="64">
        <v>520014</v>
      </c>
      <c r="AL49" s="64">
        <v>520001</v>
      </c>
      <c r="AM49" s="64">
        <v>520013</v>
      </c>
      <c r="AN49" s="64">
        <v>520022</v>
      </c>
      <c r="AO49" s="64">
        <v>520018</v>
      </c>
      <c r="AP49" s="64">
        <v>520030</v>
      </c>
      <c r="AQ49" s="64">
        <v>520036</v>
      </c>
      <c r="AR49" s="64">
        <v>520038</v>
      </c>
      <c r="AS49" s="71">
        <v>520043</v>
      </c>
      <c r="AT49" s="74">
        <f>IF($N$21=1,AJ49,IF($N$21=2,AL49,IF($N$21=3,AK49,IF($N$21=4,AN49,IF($N$21=5,AO49,IF($N$21=6,AI49,IF($N$21=7,AP49,IF($N$21=8,AQ49,IF($N$21=9,AH49,0)))))))))</f>
        <v>0</v>
      </c>
      <c r="AU49" s="74">
        <v>100</v>
      </c>
      <c r="AV49" s="64">
        <v>520005</v>
      </c>
      <c r="AW49" s="64">
        <v>520002</v>
      </c>
      <c r="AX49" s="64">
        <v>520008</v>
      </c>
      <c r="AY49" s="64">
        <v>520019</v>
      </c>
      <c r="AZ49" s="64">
        <v>520009</v>
      </c>
      <c r="BA49" s="64">
        <v>520020</v>
      </c>
      <c r="BB49" s="64">
        <v>520024</v>
      </c>
      <c r="BC49" s="64">
        <v>520021</v>
      </c>
      <c r="BD49" s="64">
        <v>520026</v>
      </c>
      <c r="BE49" s="64">
        <v>520041</v>
      </c>
      <c r="BF49" s="64">
        <v>520039</v>
      </c>
      <c r="BG49" s="71">
        <v>520044</v>
      </c>
      <c r="BH49" s="74">
        <f>IF($N$21=1,AX49,IF($N$21=2,AZ49,IF($N$21=3,AY49,IF($N$21=4,BB49,IF($N$21=5,BC49,IF($N$21=6,AW49,IF($N$21=7,BD49,IF($N$21=8,BE49,IF($N$21=9,AV49,0)))))))))</f>
        <v>0</v>
      </c>
      <c r="BI49" s="74">
        <v>120</v>
      </c>
    </row>
    <row r="50" spans="1:131" ht="32.1" customHeight="1">
      <c r="A50" s="131"/>
      <c r="B50" s="96" t="str">
        <f>VLOOKUP("lfm",Sprachindex!A:Z,Info!$O$6,FALSE)</f>
        <v>lfm</v>
      </c>
      <c r="C50" s="95"/>
      <c r="D50" s="95">
        <f>AF50</f>
        <v>0</v>
      </c>
      <c r="E50" s="250" t="str">
        <f>VLOOKUP("Einlaufblech glatt",Sprachindex!A:Z,Info!$O$6,FALSE)</f>
        <v>Einlaufblech glatt</v>
      </c>
      <c r="F50" s="251"/>
      <c r="G50" s="251"/>
      <c r="H50" s="251"/>
      <c r="I50" s="251"/>
      <c r="J50" s="307" t="str">
        <f>VLOOKUP("230 × 2.000 × 0,7 mm",Sprachindex!A:Z,Info!$O$6,FALSE)</f>
        <v>230 × 2.000 × 0,7 mm</v>
      </c>
      <c r="K50" s="308"/>
      <c r="L50" s="96" t="str">
        <f>IF(A50=""," ",IF($N$11=1,$P50,IF($N$11=2,Q50,0)))</f>
        <v xml:space="preserve"> </v>
      </c>
      <c r="M50" s="130"/>
      <c r="N50" s="87"/>
      <c r="O50" s="1"/>
      <c r="P50" s="191" t="str">
        <f>ROUNDUP($A50/2,0)*2 &amp;" " &amp; Formeln!$A$112 &amp; "                " &amp; "(="&amp;ROUNDUP($A50/2,0) &amp; " " &amp;Formeln!$A$111 &amp; ")"</f>
        <v>0 lfm                (=0 STK)</v>
      </c>
      <c r="Q50" s="191" t="str">
        <f>ROUNDUP($A50/2,0)*2 &amp;" " &amp; Formeln!$A$112 &amp; "                " &amp; "(="&amp;ROUNDUP($A50/2,0) &amp; " " &amp;Formeln!$A$111 &amp; ")"</f>
        <v>0 lfm                (=0 STK)</v>
      </c>
      <c r="R50" s="191"/>
      <c r="S50" s="191"/>
      <c r="T50" s="64">
        <v>563002</v>
      </c>
      <c r="U50" s="64">
        <v>563001</v>
      </c>
      <c r="V50" s="64">
        <v>563005</v>
      </c>
      <c r="W50" s="64">
        <v>563007</v>
      </c>
      <c r="X50" s="64">
        <v>563004</v>
      </c>
      <c r="Y50" s="64">
        <v>563012</v>
      </c>
      <c r="Z50" s="64">
        <v>563006</v>
      </c>
      <c r="AA50" s="64">
        <v>563011</v>
      </c>
      <c r="AB50" s="64">
        <v>563013</v>
      </c>
      <c r="AC50" s="64">
        <v>563015</v>
      </c>
      <c r="AD50" s="64">
        <v>563016</v>
      </c>
      <c r="AE50" s="64">
        <v>563017</v>
      </c>
      <c r="AF50" s="74">
        <f t="shared" si="2"/>
        <v>0</v>
      </c>
      <c r="AG50" s="74"/>
    </row>
    <row r="51" spans="1:131" ht="32.1" customHeight="1">
      <c r="A51" s="118"/>
      <c r="B51" s="96" t="str">
        <f>VLOOKUP("lfm",Sprachindex!A:Z,Info!$O$6,FALSE)</f>
        <v>lfm</v>
      </c>
      <c r="C51" s="95"/>
      <c r="D51" s="95">
        <v>507300</v>
      </c>
      <c r="E51" s="250" t="str">
        <f>VLOOKUP("Vogelschutzgitter, Lochbreite 5mm, 0,70x125x2000mm, braun/anthrazit",Sprachindex!A:Z,Info!$O$6,FALSE)</f>
        <v>Vogelschutzgitter, Lochbreite 5mm, 0,70x125x2000mm, braun/anthrazit</v>
      </c>
      <c r="F51" s="251"/>
      <c r="G51" s="251"/>
      <c r="H51" s="251"/>
      <c r="I51" s="251"/>
      <c r="J51" s="307"/>
      <c r="K51" s="308"/>
      <c r="L51" s="96" t="str">
        <f>IF(A51=""," ",IF($N$11=1,$P51,IF($N$11=2,Q51,0)))</f>
        <v xml:space="preserve"> </v>
      </c>
      <c r="M51" s="97"/>
      <c r="O51" s="1"/>
      <c r="P51" s="191" t="str">
        <f>ROUNDUP($A51/2,0)*2 &amp;" " &amp; Formeln!$A$112 &amp; "                " &amp; "(="&amp;ROUNDUP($A51/2,0) &amp; " " &amp;Formeln!$A$111 &amp; ")"</f>
        <v>0 lfm                (=0 STK)</v>
      </c>
      <c r="Q51" s="191" t="str">
        <f>ROUNDUP($A51/2,0)*2 &amp;" " &amp; Formeln!$A$112 &amp; "                " &amp; "(="&amp;ROUNDUP($A51/2,0) &amp; " " &amp;Formeln!$A$111 &amp; ")"</f>
        <v>0 lfm                (=0 STK)</v>
      </c>
      <c r="R51" s="191"/>
      <c r="S51" s="191"/>
      <c r="T51" s="206" t="s">
        <v>29</v>
      </c>
      <c r="U51" s="49" t="s">
        <v>30</v>
      </c>
      <c r="V51" s="49" t="s">
        <v>31</v>
      </c>
      <c r="W51" s="49" t="s">
        <v>32</v>
      </c>
      <c r="X51" s="49" t="s">
        <v>33</v>
      </c>
      <c r="Y51" s="49" t="s">
        <v>34</v>
      </c>
      <c r="Z51" s="49" t="s">
        <v>35</v>
      </c>
      <c r="AA51" s="49" t="s">
        <v>36</v>
      </c>
      <c r="AB51" s="49" t="s">
        <v>37</v>
      </c>
      <c r="AC51" s="49" t="s">
        <v>48</v>
      </c>
      <c r="AD51" s="49" t="s">
        <v>29</v>
      </c>
      <c r="AE51" s="49" t="s">
        <v>30</v>
      </c>
      <c r="AF51" s="49" t="s">
        <v>31</v>
      </c>
      <c r="AG51" s="49" t="s">
        <v>32</v>
      </c>
      <c r="AH51" s="49" t="s">
        <v>33</v>
      </c>
      <c r="AI51" s="49" t="s">
        <v>34</v>
      </c>
      <c r="AJ51" s="49" t="s">
        <v>35</v>
      </c>
      <c r="AK51" s="49" t="s">
        <v>36</v>
      </c>
      <c r="AL51" s="49" t="s">
        <v>37</v>
      </c>
      <c r="AM51" s="49" t="s">
        <v>48</v>
      </c>
    </row>
    <row r="52" spans="1:131" ht="32.1" customHeight="1">
      <c r="A52" s="131"/>
      <c r="B52" s="96" t="str">
        <f>VLOOKUP("STK",Sprachindex!A:Z,Info!$O$6,FALSE)</f>
        <v>STK</v>
      </c>
      <c r="C52" s="95"/>
      <c r="D52" s="95">
        <f>AF52</f>
        <v>0</v>
      </c>
      <c r="E52" s="250" t="str">
        <f>VLOOKUP("Überbügel",Sprachindex!A:Z,Info!$O$6,FALSE)</f>
        <v>Überbügel</v>
      </c>
      <c r="F52" s="251"/>
      <c r="G52" s="251"/>
      <c r="H52" s="251"/>
      <c r="I52" s="251"/>
      <c r="J52" s="307" t="str">
        <f>VLOOKUP("4 × 25 × 427 mm",Sprachindex!A:Z,Info!$O$6,FALSE)</f>
        <v>4 × 25 × 427 mm</v>
      </c>
      <c r="K52" s="308"/>
      <c r="L52" s="96" t="str">
        <f t="shared" si="1"/>
        <v xml:space="preserve"> </v>
      </c>
      <c r="M52" s="130"/>
      <c r="N52" s="87"/>
      <c r="O52" s="1"/>
      <c r="P52" s="191" t="str">
        <f>ROUNDUP($A52/R52,0)*R52 &amp; "  " &amp; Formeln!$A$111</f>
        <v>0  STK</v>
      </c>
      <c r="Q52" s="191" t="str">
        <f>ROUNDUP($A52/S52,0)*S52 &amp; "  " &amp; Formeln!$A$111</f>
        <v>0  STK</v>
      </c>
      <c r="R52" s="191">
        <f>IF(N24=5,"",10)</f>
        <v>10</v>
      </c>
      <c r="S52" s="191">
        <v>1</v>
      </c>
      <c r="T52" s="64" t="s">
        <v>425</v>
      </c>
      <c r="U52" s="64" t="s">
        <v>426</v>
      </c>
      <c r="V52" s="64" t="s">
        <v>427</v>
      </c>
      <c r="W52" s="64"/>
      <c r="X52" s="64" t="s">
        <v>428</v>
      </c>
      <c r="Y52" s="64"/>
      <c r="Z52" s="64"/>
      <c r="AA52" s="64"/>
      <c r="AB52" s="64"/>
      <c r="AC52" s="64"/>
      <c r="AD52" s="64"/>
      <c r="AE52" s="71"/>
      <c r="AF52" s="74">
        <f t="shared" ref="AF52:AF70" si="3">IF($N$21=1,V52,IF($N$21=2,X52,IF($N$21=3,W52,IF($N$21=4,Z52,IF($N$21=5,AA52,IF($N$21=6,U52,IF($N$21=7,AB52,IF($N$21=8,AC52,IF($N$21=9,T52,0)))))))))</f>
        <v>0</v>
      </c>
      <c r="AG52" s="74"/>
    </row>
    <row r="53" spans="1:131" ht="32.1" customHeight="1">
      <c r="A53" s="131"/>
      <c r="B53" s="96" t="str">
        <f>VLOOKUP("lfm",Sprachindex!A:Z,Info!$O$6,FALSE)</f>
        <v>lfm</v>
      </c>
      <c r="C53" s="95"/>
      <c r="D53" s="95" t="str">
        <f>IF($N$24=1,AF53,IF($N$24=2,"",IF($N$24=3,AT53,IF($N$24=4,BH53,IF($N$24=5,BV53,"")))))</f>
        <v/>
      </c>
      <c r="E53" s="250" t="str">
        <f>VLOOKUP("Kastenrinne 3 m",Sprachindex!A:Z,Info!$O$6,FALSE)</f>
        <v>Kastenrinne 3 m</v>
      </c>
      <c r="F53" s="251"/>
      <c r="G53" s="251"/>
      <c r="H53" s="251"/>
      <c r="I53" s="251"/>
      <c r="J53" s="307" t="str">
        <f>Formeln!B204</f>
        <v/>
      </c>
      <c r="K53" s="308"/>
      <c r="L53" s="224" t="str">
        <f t="shared" si="1"/>
        <v xml:space="preserve"> </v>
      </c>
      <c r="M53" s="130"/>
      <c r="N53" s="87"/>
      <c r="O53" s="1"/>
      <c r="P53" s="191" t="e">
        <f>ROUNDUP($A53/$R53,0)*$R53 &amp; "  " &amp; Formeln!$A$112 &amp; "                     " &amp; " (" &amp; ROUNDUP($A53/$R53,0)*$R53/$S53 &amp; " " &amp; Formeln!$A$111 &amp; ")"</f>
        <v>#VALUE!</v>
      </c>
      <c r="Q53" s="191" t="str">
        <f>ROUNDUP($A53/$S53,0)*$S53 &amp; "  " &amp; Formeln!$A$112 &amp; "                     " &amp; " (" &amp; ROUNDUP($A53/$S53,0)*$S53/$S53 &amp; " " &amp; Formeln!$A$111 &amp; ")"</f>
        <v>0  lfm                      (0 STK)</v>
      </c>
      <c r="R53" s="191" t="str">
        <f>IF($N$24=1,6,IF($N$24=2,"",IF($N$24=3,6,IF($N$24=4,6,IF($N$24=5,3,"")))))</f>
        <v/>
      </c>
      <c r="S53" s="191">
        <v>3</v>
      </c>
      <c r="T53" s="64">
        <v>573210</v>
      </c>
      <c r="U53" s="64">
        <v>573213</v>
      </c>
      <c r="V53" s="64">
        <v>573212</v>
      </c>
      <c r="W53" s="71"/>
      <c r="X53" s="64">
        <v>573211</v>
      </c>
      <c r="Y53" s="71">
        <v>573216</v>
      </c>
      <c r="Z53" s="71"/>
      <c r="AA53" s="71"/>
      <c r="AB53" s="71"/>
      <c r="AC53" s="71">
        <v>573217</v>
      </c>
      <c r="AD53" s="71"/>
      <c r="AE53" s="71"/>
      <c r="AF53" s="74">
        <f t="shared" si="3"/>
        <v>0</v>
      </c>
      <c r="AG53" s="74" t="s">
        <v>372</v>
      </c>
      <c r="AH53" s="64">
        <v>573200</v>
      </c>
      <c r="AI53" s="64">
        <v>573202</v>
      </c>
      <c r="AJ53" s="64">
        <v>573203</v>
      </c>
      <c r="AK53" s="64">
        <v>573205</v>
      </c>
      <c r="AL53" s="64">
        <v>573201</v>
      </c>
      <c r="AM53" s="64">
        <v>573208</v>
      </c>
      <c r="AN53" s="64">
        <v>573206</v>
      </c>
      <c r="AO53" s="64">
        <v>573204</v>
      </c>
      <c r="AP53" s="64">
        <v>573207</v>
      </c>
      <c r="AQ53" s="64">
        <v>573215</v>
      </c>
      <c r="AR53" s="64">
        <v>573214</v>
      </c>
      <c r="AS53" s="71">
        <v>573209</v>
      </c>
      <c r="AT53" s="74">
        <f>IF($N$21=1,AJ53,IF($N$21=2,AL53,IF($N$21=3,AK53,IF($N$21=4,AN53,IF($N$21=5,AO53,IF($N$21=6,AI53,IF($N$21=7,AP53,IF($N$21=8,AQ53,IF($N$21=9,AH53,0)))))))))</f>
        <v>0</v>
      </c>
      <c r="AU53" s="74" t="s">
        <v>374</v>
      </c>
      <c r="AV53" s="64" t="s">
        <v>429</v>
      </c>
      <c r="AW53" s="64" t="s">
        <v>430</v>
      </c>
      <c r="AX53" s="64" t="s">
        <v>431</v>
      </c>
      <c r="AY53" s="64"/>
      <c r="AZ53" s="64" t="s">
        <v>432</v>
      </c>
      <c r="BA53" s="64" t="s">
        <v>433</v>
      </c>
      <c r="BB53" s="64"/>
      <c r="BC53" s="64" t="s">
        <v>434</v>
      </c>
      <c r="BD53" s="64"/>
      <c r="BE53" s="64" t="s">
        <v>435</v>
      </c>
      <c r="BF53" s="64" t="s">
        <v>436</v>
      </c>
      <c r="BG53" s="71"/>
      <c r="BH53" s="74">
        <f>IF($N$21=1,AX53,IF($N$21=2,AZ53,IF($N$21=3,AY53,IF($N$21=4,BB53,IF($N$21=5,BC53,IF($N$21=6,AW53,IF($N$21=7,BD53,IF($N$21=8,BE53,IF($N$21=9,AV53,0)))))))))</f>
        <v>0</v>
      </c>
      <c r="BI53" s="74" t="s">
        <v>375</v>
      </c>
      <c r="BJ53" s="64" t="s">
        <v>437</v>
      </c>
      <c r="BK53" s="64" t="s">
        <v>438</v>
      </c>
      <c r="BL53" s="64" t="s">
        <v>439</v>
      </c>
      <c r="BM53" s="64"/>
      <c r="BN53" s="64" t="s">
        <v>438</v>
      </c>
      <c r="BO53" s="64"/>
      <c r="BP53" s="64"/>
      <c r="BQ53" s="64"/>
      <c r="BR53" s="64"/>
      <c r="BS53" s="64"/>
      <c r="BT53" s="64"/>
      <c r="BU53" s="71"/>
      <c r="BV53" s="74">
        <f>IF($N$21=1,BL53,IF($N$21=2,BN53,IF($N$21=3,BM53,IF($N$21=4,BP53,IF($N$21=5,BQ53,IF($N$21=6,BK53,IF($N$21=7,BR53,IF($N$21=8,BS53,IF($N$21=9,BJ53,0)))))))))</f>
        <v>0</v>
      </c>
      <c r="BW53" s="74" t="s">
        <v>440</v>
      </c>
    </row>
    <row r="54" spans="1:131" ht="32.1" customHeight="1">
      <c r="A54" s="131"/>
      <c r="B54" s="96" t="s">
        <v>441</v>
      </c>
      <c r="C54" s="95"/>
      <c r="D54" s="95" t="str">
        <f>IF($N$24=1,AF54,IF($N$24=2,"",IF($N$24=3,AT54,IF($N$24=4,BH54,IF($N$24=5,BV54,"")))))</f>
        <v/>
      </c>
      <c r="E54" s="250" t="str">
        <f>VLOOKUP("Kastenrinne 6 m",Sprachindex!A:Z,Info!$O$6,FALSE)</f>
        <v>Kastenrinne 6 m</v>
      </c>
      <c r="F54" s="251"/>
      <c r="G54" s="251"/>
      <c r="H54" s="251"/>
      <c r="I54" s="251"/>
      <c r="J54" s="307" t="str">
        <f>Formeln!B203</f>
        <v/>
      </c>
      <c r="K54" s="308"/>
      <c r="L54" s="224" t="str">
        <f t="shared" si="1"/>
        <v xml:space="preserve"> </v>
      </c>
      <c r="M54" s="130"/>
      <c r="N54" s="87"/>
      <c r="O54" s="1"/>
      <c r="P54" s="191" t="e">
        <f>ROUNDUP($A54/$R54,0)*$R54 &amp; "  " &amp; Formeln!$A$112 &amp; "                     " &amp; " (" &amp; ROUNDUP($A54/$R54,0)*$R54/$S54 &amp; " " &amp; Formeln!$A$111 &amp; ")"</f>
        <v>#VALUE!</v>
      </c>
      <c r="Q54" s="191" t="str">
        <f>ROUNDUP($A54/$S54,0)*$S54 &amp; "  " &amp; Formeln!$A$112 &amp; "                     " &amp; " (" &amp; ROUNDUP($A54/$S54,0)*$S54/$S54 &amp; " " &amp; Formeln!$A$111 &amp; ")"</f>
        <v>0  lfm                      (0 STK)</v>
      </c>
      <c r="R54" s="191" t="str">
        <f>IF($N$24=1,12,IF($N$24=2,"",IF($N$24=3,12,IF($N$24=4,12,IF($N$24=5,6,"")))))</f>
        <v/>
      </c>
      <c r="S54" s="191">
        <v>6</v>
      </c>
      <c r="T54" s="64">
        <v>573009</v>
      </c>
      <c r="U54" s="64">
        <v>573012</v>
      </c>
      <c r="V54" s="64">
        <v>573010</v>
      </c>
      <c r="W54" s="71"/>
      <c r="X54" s="64">
        <v>573011</v>
      </c>
      <c r="Y54" s="71">
        <v>573025</v>
      </c>
      <c r="Z54" s="71"/>
      <c r="AA54" s="71"/>
      <c r="AB54" s="71"/>
      <c r="AC54" s="71">
        <v>573026</v>
      </c>
      <c r="AD54" s="71"/>
      <c r="AE54" s="71"/>
      <c r="AF54" s="74">
        <f t="shared" si="3"/>
        <v>0</v>
      </c>
      <c r="AG54" s="74" t="s">
        <v>376</v>
      </c>
      <c r="AH54" s="64">
        <v>573002</v>
      </c>
      <c r="AI54" s="64">
        <v>573001</v>
      </c>
      <c r="AJ54" s="64">
        <v>573003</v>
      </c>
      <c r="AK54" s="64">
        <v>573017</v>
      </c>
      <c r="AL54" s="64">
        <v>573007</v>
      </c>
      <c r="AM54" s="64">
        <v>573008</v>
      </c>
      <c r="AN54" s="64">
        <v>573019</v>
      </c>
      <c r="AO54" s="64">
        <v>573016</v>
      </c>
      <c r="AP54" s="64">
        <v>573015</v>
      </c>
      <c r="AQ54" s="64">
        <v>573024</v>
      </c>
      <c r="AR54" s="64">
        <v>573023</v>
      </c>
      <c r="AS54" s="71">
        <v>573013</v>
      </c>
      <c r="AT54" s="74">
        <f>IF($N$21=1,AJ54,IF($N$21=2,AL54,IF($N$21=3,AK54,IF($N$21=4,AN54,IF($N$21=5,AO54,IF($N$21=6,AI54,IF($N$21=7,AP54,IF($N$21=8,AQ54,IF($N$21=9,AH54,0)))))))))</f>
        <v>0</v>
      </c>
      <c r="AU54" s="74" t="s">
        <v>378</v>
      </c>
      <c r="AV54" s="64">
        <v>573005</v>
      </c>
      <c r="AW54" s="64">
        <v>573004</v>
      </c>
      <c r="AX54" s="64">
        <v>573006</v>
      </c>
      <c r="AY54" s="71"/>
      <c r="AZ54" s="64">
        <v>573014</v>
      </c>
      <c r="BA54" s="71">
        <v>573032</v>
      </c>
      <c r="BB54" s="71"/>
      <c r="BC54" s="71">
        <v>573030</v>
      </c>
      <c r="BD54" s="71"/>
      <c r="BE54" s="71">
        <v>573033</v>
      </c>
      <c r="BF54" s="71">
        <v>573031</v>
      </c>
      <c r="BG54" s="71"/>
      <c r="BH54" s="74">
        <f>IF($N$21=1,AX54,IF($N$21=2,AZ54,IF($N$21=3,AY54,IF($N$21=4,BB54,IF($N$21=5,BC54,IF($N$21=6,AW54,IF($N$21=7,BD54,IF($N$21=8,BE54,IF($N$21=9,AV54,0)))))))))</f>
        <v>0</v>
      </c>
      <c r="BI54" s="74" t="s">
        <v>379</v>
      </c>
      <c r="BJ54" s="64">
        <v>573304</v>
      </c>
      <c r="BK54" s="64">
        <v>573303</v>
      </c>
      <c r="BL54" s="64">
        <v>573301</v>
      </c>
      <c r="BM54" s="71"/>
      <c r="BN54" s="64">
        <v>573302</v>
      </c>
      <c r="BO54" s="71"/>
      <c r="BP54" s="71"/>
      <c r="BQ54" s="71"/>
      <c r="BR54" s="71"/>
      <c r="BS54" s="71"/>
      <c r="BT54" s="71"/>
      <c r="BU54" s="71"/>
      <c r="BV54" s="74">
        <f>IF($N$21=1,BL54,IF($N$21=2,BN54,IF($N$21=3,BM54,IF($N$21=4,BP54,IF($N$21=5,BQ54,IF($N$21=6,BK54,IF($N$21=7,BR54,IF($N$21=8,BS54,IF($N$21=9,BJ54,0)))))))))</f>
        <v>0</v>
      </c>
      <c r="BW54" s="74" t="s">
        <v>442</v>
      </c>
      <c r="BX54" s="64"/>
      <c r="BY54" s="64"/>
      <c r="BZ54" s="64"/>
      <c r="CB54" s="64"/>
      <c r="CJ54" s="181"/>
      <c r="CK54" s="181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X54" s="181"/>
      <c r="CY54" s="181"/>
      <c r="CZ54" s="64"/>
      <c r="DA54" s="64"/>
      <c r="DB54" s="64"/>
      <c r="DD54" s="64"/>
      <c r="DL54" s="181"/>
      <c r="DM54" s="181"/>
      <c r="DN54" s="64"/>
      <c r="DO54" s="64"/>
      <c r="DP54" s="64"/>
      <c r="DR54" s="64"/>
      <c r="DZ54" s="181"/>
      <c r="EA54" s="181"/>
    </row>
    <row r="55" spans="1:131" ht="32.1" customHeight="1">
      <c r="A55" s="131"/>
      <c r="B55" s="96" t="str">
        <f>VLOOKUP("STK",Sprachindex!A:Z,Info!$O$6,FALSE)</f>
        <v>STK</v>
      </c>
      <c r="C55" s="95"/>
      <c r="D55" s="95">
        <f>IF(N24=1,AF55,IF(N24=3,AT55,IF(N24=4,AF55,IF(N24=4,BH55,IF(N24=5,BV55,0)))))</f>
        <v>0</v>
      </c>
      <c r="E55" s="250" t="str">
        <f>VLOOKUP("Rinnenhaken für Kastenrinne",Sprachindex!A:Z,Info!$O$6,FALSE)</f>
        <v>Rinnenhaken für Kastenrinne</v>
      </c>
      <c r="F55" s="251"/>
      <c r="G55" s="251"/>
      <c r="H55" s="251"/>
      <c r="I55" s="314"/>
      <c r="J55" s="307" t="str">
        <f>Formeln!A207</f>
        <v/>
      </c>
      <c r="K55" s="308"/>
      <c r="L55" s="96" t="str">
        <f t="shared" si="1"/>
        <v xml:space="preserve"> </v>
      </c>
      <c r="M55" s="130"/>
      <c r="N55" s="87"/>
      <c r="O55" s="1"/>
      <c r="P55" s="191" t="e">
        <f>ROUNDUP($A55/R55,0)*R55 &amp; "  " &amp; Formeln!$A$111</f>
        <v>#VALUE!</v>
      </c>
      <c r="Q55" s="191" t="e">
        <f>ROUNDUP($A55/S55,0)*S55 &amp; "  " &amp; Formeln!$A$111</f>
        <v>#VALUE!</v>
      </c>
      <c r="R55" s="191" t="str">
        <f>IF(OR($N$24=1,$N$24=3),30,IF(OR($N$24=4,$N$24=5),20,""))</f>
        <v/>
      </c>
      <c r="S55" s="191" t="str">
        <f>IF(OR($N$24=1,$N$24=3,$N$24=4,$N$24=5),1,"")</f>
        <v/>
      </c>
      <c r="T55" s="64">
        <v>525012</v>
      </c>
      <c r="U55" s="64">
        <v>525015</v>
      </c>
      <c r="V55" s="64">
        <v>525013</v>
      </c>
      <c r="W55" s="71"/>
      <c r="X55" s="64">
        <v>525014</v>
      </c>
      <c r="Y55" s="71">
        <v>525040</v>
      </c>
      <c r="Z55" s="71"/>
      <c r="AA55" s="71"/>
      <c r="AB55" s="71"/>
      <c r="AC55" s="71">
        <v>525041</v>
      </c>
      <c r="AD55" s="71"/>
      <c r="AE55" s="71"/>
      <c r="AF55" s="74">
        <f t="shared" si="3"/>
        <v>0</v>
      </c>
      <c r="AG55" s="74" t="s">
        <v>443</v>
      </c>
      <c r="AH55" s="64">
        <v>525001</v>
      </c>
      <c r="AI55" s="64">
        <v>525002</v>
      </c>
      <c r="AJ55" s="64">
        <v>525006</v>
      </c>
      <c r="AK55" s="64">
        <v>525011</v>
      </c>
      <c r="AL55" s="64">
        <v>525007</v>
      </c>
      <c r="AM55" s="64">
        <v>525009</v>
      </c>
      <c r="AN55" s="64">
        <v>525017</v>
      </c>
      <c r="AO55" s="64">
        <v>525010</v>
      </c>
      <c r="AP55" s="64">
        <v>525018</v>
      </c>
      <c r="AQ55" s="64">
        <v>525020</v>
      </c>
      <c r="AR55" s="64">
        <v>525019</v>
      </c>
      <c r="AS55" s="71">
        <v>525021</v>
      </c>
      <c r="AT55" s="74">
        <f>IF($N$21=1,AJ55,IF($N$21=2,AL55,IF($N$21=3,AK55,IF($N$21=4,AN55,IF($N$21=5,AO55,IF($N$21=6,AI55,IF($N$21=7,AP55,IF($N$21=8,AQ55,IF($N$21=9,AH55,0)))))))))</f>
        <v>0</v>
      </c>
      <c r="AU55" s="74" t="s">
        <v>395</v>
      </c>
      <c r="AV55" s="64">
        <v>525003</v>
      </c>
      <c r="AW55" s="64">
        <v>525004</v>
      </c>
      <c r="AX55" s="64">
        <v>525005</v>
      </c>
      <c r="AY55" s="71"/>
      <c r="AZ55" s="64">
        <v>525008</v>
      </c>
      <c r="BA55" s="71">
        <v>525024</v>
      </c>
      <c r="BB55" s="71"/>
      <c r="BC55" s="71">
        <v>525022</v>
      </c>
      <c r="BD55" s="71"/>
      <c r="BE55" s="71">
        <v>525025</v>
      </c>
      <c r="BF55" s="71">
        <v>525023</v>
      </c>
      <c r="BG55" s="71"/>
      <c r="BH55" s="74">
        <f>IF($N$21=1,AX55,IF($N$21=2,AZ55,IF($N$21=3,AY55,IF($N$21=4,BB55,IF($N$21=5,BC55,IF($N$21=6,AW55,IF($N$21=7,BD55,IF($N$21=8,BE55,IF($N$21=9,AV55,0)))))))))</f>
        <v>0</v>
      </c>
      <c r="BI55" s="74" t="s">
        <v>444</v>
      </c>
      <c r="BJ55" s="64">
        <v>525030</v>
      </c>
      <c r="BK55" s="64">
        <v>525033</v>
      </c>
      <c r="BL55" s="64">
        <v>525031</v>
      </c>
      <c r="BM55" s="71"/>
      <c r="BN55" s="64">
        <v>525032</v>
      </c>
      <c r="BO55" s="71"/>
      <c r="BP55" s="71"/>
      <c r="BQ55" s="71"/>
      <c r="BR55" s="71"/>
      <c r="BS55" s="71"/>
      <c r="BT55" s="71"/>
      <c r="BU55" s="71"/>
      <c r="BV55" s="74">
        <f>IF($N$21=1,BL55,IF($N$21=2,BN55,IF($N$21=3,BM55,IF($N$21=4,BP55,IF($N$21=5,BQ55,IF($N$21=6,BK55,IF($N$21=7,BR55,IF($N$21=8,BS55,IF($N$21=9,BJ55,0)))))))))</f>
        <v>0</v>
      </c>
      <c r="BW55" s="74" t="s">
        <v>445</v>
      </c>
    </row>
    <row r="56" spans="1:131" ht="32.1" customHeight="1">
      <c r="A56" s="131"/>
      <c r="B56" s="96" t="str">
        <f>VLOOKUP("STK",Sprachindex!A:Z,Info!$O$6,FALSE)</f>
        <v>STK</v>
      </c>
      <c r="C56" s="95"/>
      <c r="D56" s="95">
        <f>IF(N24=1,AF56,IF(N24=3,AT56,0))</f>
        <v>0</v>
      </c>
      <c r="E56" s="250" t="str">
        <f>VLOOKUP("Stirnbretthaken für Kastenrinnen",Sprachindex!A:Z,Info!$O$6,FALSE)</f>
        <v>Stirnbretthaken für Kastenrinnen</v>
      </c>
      <c r="F56" s="251"/>
      <c r="G56" s="251"/>
      <c r="H56" s="251"/>
      <c r="I56" s="251"/>
      <c r="J56" s="307" t="str">
        <f>Formeln!A215</f>
        <v/>
      </c>
      <c r="K56" s="308"/>
      <c r="L56" s="96" t="str">
        <f t="shared" si="1"/>
        <v xml:space="preserve"> </v>
      </c>
      <c r="M56" s="130"/>
      <c r="N56" s="87"/>
      <c r="O56" s="1"/>
      <c r="P56" s="191" t="e">
        <f>ROUNDUP($A56/R56,0)*R56 &amp; "  " &amp; Formeln!$A$111</f>
        <v>#VALUE!</v>
      </c>
      <c r="Q56" s="191" t="e">
        <f>ROUNDUP($A56/S56,0)*S56 &amp; "  " &amp; Formeln!$A$111</f>
        <v>#VALUE!</v>
      </c>
      <c r="R56" s="191" t="str">
        <f>IF(OR($N$24=1,$N$24=3),20,"")</f>
        <v/>
      </c>
      <c r="S56" s="191" t="str">
        <f>IF(OR($N$24=1,$N$24=3),1,"")</f>
        <v/>
      </c>
      <c r="T56" s="64">
        <v>525200</v>
      </c>
      <c r="U56" s="64">
        <v>525232</v>
      </c>
      <c r="V56" s="64">
        <v>525230</v>
      </c>
      <c r="W56" s="71"/>
      <c r="X56" s="64">
        <v>525231</v>
      </c>
      <c r="Y56" s="71">
        <v>525234</v>
      </c>
      <c r="Z56" s="71"/>
      <c r="AA56" s="71"/>
      <c r="AB56" s="71"/>
      <c r="AC56" s="71">
        <v>525235</v>
      </c>
      <c r="AD56" s="71"/>
      <c r="AE56" s="71"/>
      <c r="AF56" s="74">
        <f t="shared" si="3"/>
        <v>0</v>
      </c>
      <c r="AG56" s="74" t="s">
        <v>393</v>
      </c>
      <c r="AH56" s="64">
        <v>525201</v>
      </c>
      <c r="AI56" s="64">
        <v>525212</v>
      </c>
      <c r="AJ56" s="64">
        <v>525210</v>
      </c>
      <c r="AK56" s="64">
        <v>525215</v>
      </c>
      <c r="AL56" s="64">
        <v>525211</v>
      </c>
      <c r="AM56" s="64">
        <v>525213</v>
      </c>
      <c r="AN56" s="64">
        <v>525216</v>
      </c>
      <c r="AO56" s="64">
        <v>525214</v>
      </c>
      <c r="AP56" s="64">
        <v>525217</v>
      </c>
      <c r="AQ56" s="64">
        <v>525219</v>
      </c>
      <c r="AR56" s="64">
        <v>525218</v>
      </c>
      <c r="AS56" s="71">
        <v>525220</v>
      </c>
      <c r="AT56" s="74">
        <f>IF($N$21=1,AJ56,IF($N$21=2,AL56,IF($N$21=3,AK56,IF($N$21=4,AN56,IF($N$21=5,AO56,IF($N$21=6,AI56,IF($N$21=7,AP56,IF($N$21=8,AQ56,IF($N$21=9,AH56,0)))))))))</f>
        <v>0</v>
      </c>
      <c r="AU56" s="74" t="s">
        <v>395</v>
      </c>
      <c r="BU56" s="71"/>
      <c r="BV56" s="74">
        <f>IF($N$21=1,BL56,IF($N$21=2,BN56,IF($N$21=3,BM56,IF($N$21=4,BP56,IF($N$21=5,BQ56,IF($N$21=6,BK56,IF($N$21=7,BR56,IF($N$21=8,BS56,IF($N$21=9,BJ56,0)))))))))</f>
        <v>0</v>
      </c>
      <c r="BW56" s="74" t="s">
        <v>411</v>
      </c>
    </row>
    <row r="57" spans="1:131" ht="32.1" customHeight="1">
      <c r="A57" s="131"/>
      <c r="B57" s="96" t="str">
        <f>VLOOKUP("STK",Sprachindex!A:Z,Info!$O$6,FALSE)</f>
        <v>STK</v>
      </c>
      <c r="C57" s="95"/>
      <c r="D57" s="95">
        <f>IF(N24=1,AF57,IF(N24=3,AT57,IF(N24=4,BH57,0)))</f>
        <v>0</v>
      </c>
      <c r="E57" s="250" t="str">
        <f>VLOOKUP("Kastenrinnen-Endboden ",Sprachindex!A:Z,Info!$O$6,FALSE)</f>
        <v xml:space="preserve">Kastenrinnen-Endboden </v>
      </c>
      <c r="F57" s="251"/>
      <c r="G57" s="251"/>
      <c r="H57" s="251"/>
      <c r="I57" s="251"/>
      <c r="J57" s="307" t="str">
        <f>Formeln!A219</f>
        <v/>
      </c>
      <c r="K57" s="308"/>
      <c r="L57" s="96" t="str">
        <f t="shared" si="1"/>
        <v xml:space="preserve"> </v>
      </c>
      <c r="M57" s="130"/>
      <c r="N57" s="87"/>
      <c r="O57" s="1"/>
      <c r="P57" s="191" t="e">
        <f>ROUNDUP($A57/R57,0)*R57 &amp; "  " &amp; Formeln!$A$111</f>
        <v>#VALUE!</v>
      </c>
      <c r="Q57" s="191" t="e">
        <f>ROUNDUP($A57/S57,0)*S57 &amp; "  " &amp; Formeln!$A$111</f>
        <v>#VALUE!</v>
      </c>
      <c r="R57" s="191" t="str">
        <f>IF(OR($N$24=1,$N$24=3,$N$24=4),50,"")</f>
        <v/>
      </c>
      <c r="S57" s="191" t="str">
        <f>IF(OR($N$24=1,$N$24=3,$N$24=4),1,"")</f>
        <v/>
      </c>
      <c r="T57" s="64">
        <v>540009</v>
      </c>
      <c r="U57" s="64">
        <v>540013</v>
      </c>
      <c r="V57" s="64">
        <v>540011</v>
      </c>
      <c r="W57" s="71"/>
      <c r="X57" s="64">
        <v>540012</v>
      </c>
      <c r="Y57" s="71">
        <v>540022</v>
      </c>
      <c r="Z57" s="71"/>
      <c r="AA57" s="71"/>
      <c r="AB57" s="71"/>
      <c r="AC57" s="71">
        <v>540023</v>
      </c>
      <c r="AD57" s="71"/>
      <c r="AE57" s="71"/>
      <c r="AF57" s="74">
        <f t="shared" si="3"/>
        <v>0</v>
      </c>
      <c r="AG57" s="74" t="s">
        <v>408</v>
      </c>
      <c r="AH57" s="64">
        <v>540003</v>
      </c>
      <c r="AI57" s="64">
        <v>540004</v>
      </c>
      <c r="AJ57" s="64">
        <v>540006</v>
      </c>
      <c r="AK57" s="64">
        <v>540016</v>
      </c>
      <c r="AL57" s="64">
        <v>540007</v>
      </c>
      <c r="AM57" s="64">
        <v>540014</v>
      </c>
      <c r="AN57" s="64">
        <v>540017</v>
      </c>
      <c r="AO57" s="64">
        <v>540015</v>
      </c>
      <c r="AP57" s="64">
        <v>540018</v>
      </c>
      <c r="AQ57" s="64">
        <v>540020</v>
      </c>
      <c r="AR57" s="64">
        <v>540019</v>
      </c>
      <c r="AS57" s="71">
        <v>540021</v>
      </c>
      <c r="AT57" s="74">
        <f>IF($N$21=1,AJ57,IF($N$21=2,AL57,IF($N$21=3,AK57,IF($N$21=4,AN57,IF($N$21=5,AO57,IF($N$21=6,AI57,IF($N$21=7,AP57,IF($N$21=8,AQ57,IF($N$21=9,AH57,0)))))))))</f>
        <v>0</v>
      </c>
      <c r="AU57" s="74" t="s">
        <v>410</v>
      </c>
      <c r="AV57" s="64">
        <v>540001</v>
      </c>
      <c r="AW57" s="64">
        <v>540002</v>
      </c>
      <c r="AX57" s="64">
        <v>540005</v>
      </c>
      <c r="AY57" s="71"/>
      <c r="AZ57" s="64">
        <v>540008</v>
      </c>
      <c r="BA57" s="71">
        <v>540026</v>
      </c>
      <c r="BB57" s="71"/>
      <c r="BC57" s="71">
        <v>540024</v>
      </c>
      <c r="BD57" s="71"/>
      <c r="BE57" s="71">
        <v>540027</v>
      </c>
      <c r="BF57" s="71">
        <v>540025</v>
      </c>
      <c r="BG57" s="71"/>
      <c r="BH57" s="74">
        <f>IF($N$21=1,AX57,IF($N$21=2,AZ57,IF($N$21=3,AY57,IF($N$21=4,BB57,IF($N$21=5,BC57,IF($N$21=6,AW57,IF($N$21=7,BD57,IF($N$21=8,BE57,IF($N$21=9,AV57,0)))))))))</f>
        <v>0</v>
      </c>
      <c r="BI57" s="74" t="s">
        <v>411</v>
      </c>
    </row>
    <row r="58" spans="1:131" ht="32.1" customHeight="1">
      <c r="A58" s="131"/>
      <c r="B58" s="96" t="str">
        <f>VLOOKUP("STK",Sprachindex!A:Z,Info!$O$6,FALSE)</f>
        <v>STK</v>
      </c>
      <c r="C58" s="95"/>
      <c r="D58" s="95">
        <f>IF($N$24=5,AF58,0)</f>
        <v>0</v>
      </c>
      <c r="E58" s="250" t="str">
        <f>VLOOKUP("Kastenrinnen-Endboden, links 50",Sprachindex!A:Z,Info!$O$6,FALSE)</f>
        <v>Kastenrinnen-Endboden, links 50</v>
      </c>
      <c r="F58" s="251"/>
      <c r="G58" s="251"/>
      <c r="H58" s="251"/>
      <c r="I58" s="251"/>
      <c r="J58" s="307" t="str">
        <f>IF(N24=0,"",IF(N24=5,G29,Formeln!A174))</f>
        <v/>
      </c>
      <c r="K58" s="308"/>
      <c r="L58" s="96" t="str">
        <f t="shared" si="1"/>
        <v xml:space="preserve"> </v>
      </c>
      <c r="M58" s="130"/>
      <c r="N58" s="87"/>
      <c r="O58" s="1"/>
      <c r="P58" s="191" t="e">
        <f>ROUNDUP($A58/R58,0)*R58 &amp; "  " &amp; Formeln!$A$111</f>
        <v>#VALUE!</v>
      </c>
      <c r="Q58" s="191" t="e">
        <f>ROUNDUP($A58/S58,0)*S58 &amp; "  " &amp; Formeln!$A$111</f>
        <v>#VALUE!</v>
      </c>
      <c r="R58" s="191" t="str">
        <f>IF($N$24=5,2,"")</f>
        <v/>
      </c>
      <c r="S58" s="191" t="str">
        <f>IF($N$24=5,1,"")</f>
        <v/>
      </c>
      <c r="T58" s="64">
        <v>540035</v>
      </c>
      <c r="U58" s="64">
        <v>540038</v>
      </c>
      <c r="V58" s="64">
        <v>540036</v>
      </c>
      <c r="W58" s="71"/>
      <c r="X58" s="64">
        <v>540037</v>
      </c>
      <c r="Y58" s="71"/>
      <c r="Z58" s="71"/>
      <c r="AA58" s="71"/>
      <c r="AB58" s="71"/>
      <c r="AC58" s="71"/>
      <c r="AD58" s="71"/>
      <c r="AE58" s="71"/>
      <c r="AF58" s="74">
        <f t="shared" si="3"/>
        <v>0</v>
      </c>
      <c r="AG58" s="74" t="s">
        <v>446</v>
      </c>
    </row>
    <row r="59" spans="1:131" ht="32.1" customHeight="1">
      <c r="A59" s="131"/>
      <c r="B59" s="96" t="str">
        <f>VLOOKUP("STK",Sprachindex!A:Z,Info!$O$6,FALSE)</f>
        <v>STK</v>
      </c>
      <c r="C59" s="95"/>
      <c r="D59" s="95">
        <f>IF($N$24=5,AF59,0)</f>
        <v>0</v>
      </c>
      <c r="E59" s="250" t="str">
        <f>VLOOKUP("Kastenrinnen-Endboden, rechts 50",Sprachindex!A:Z,Info!$O$6,FALSE)</f>
        <v>Kastenrinnen-Endboden, rechts 50</v>
      </c>
      <c r="F59" s="251"/>
      <c r="G59" s="251"/>
      <c r="H59" s="251"/>
      <c r="I59" s="251"/>
      <c r="J59" s="307" t="str">
        <f>IF(N24=0,"",IF(N24=5,G29,Formeln!A174))</f>
        <v/>
      </c>
      <c r="K59" s="308"/>
      <c r="L59" s="96" t="str">
        <f t="shared" si="1"/>
        <v xml:space="preserve"> </v>
      </c>
      <c r="M59" s="130"/>
      <c r="N59" s="87"/>
      <c r="O59" s="1"/>
      <c r="P59" s="191" t="e">
        <f>ROUNDUP($A59/R59,0)*R59 &amp; "  " &amp; Formeln!$A$111</f>
        <v>#VALUE!</v>
      </c>
      <c r="Q59" s="191" t="e">
        <f>ROUNDUP($A59/S59,0)*S59 &amp; "  " &amp; Formeln!$A$111</f>
        <v>#VALUE!</v>
      </c>
      <c r="R59" s="191" t="str">
        <f>IF($N$24=5,2,"")</f>
        <v/>
      </c>
      <c r="S59" s="191" t="str">
        <f>IF($N$24=5,1,"")</f>
        <v/>
      </c>
      <c r="T59" s="64">
        <v>540030</v>
      </c>
      <c r="U59" s="64">
        <v>540033</v>
      </c>
      <c r="V59" s="64">
        <v>540031</v>
      </c>
      <c r="W59" s="71"/>
      <c r="X59" s="64">
        <v>540032</v>
      </c>
      <c r="Y59" s="71"/>
      <c r="Z59" s="71"/>
      <c r="AA59" s="71"/>
      <c r="AB59" s="71"/>
      <c r="AC59" s="71"/>
      <c r="AD59" s="71"/>
      <c r="AE59" s="71"/>
      <c r="AF59" s="74">
        <f t="shared" si="3"/>
        <v>0</v>
      </c>
      <c r="AG59" s="74" t="s">
        <v>446</v>
      </c>
    </row>
    <row r="60" spans="1:131" ht="32.1" customHeight="1">
      <c r="A60" s="131"/>
      <c r="B60" s="96" t="str">
        <f>VLOOKUP("STK",Sprachindex!A:Z,Info!$O$6,FALSE)</f>
        <v>STK</v>
      </c>
      <c r="C60" s="95"/>
      <c r="D60" s="95">
        <f>IF($N$24=1,AF60,IF($N$24=3,AT60,IF($N$24=4,BH60,IF($N$24=5,BV60,0))))</f>
        <v>0</v>
      </c>
      <c r="E60" s="250" t="str">
        <f>VLOOKUP("Kastenrinnenwinkel, außen",Sprachindex!A:Z,Info!$O$6,FALSE)</f>
        <v>Kastenrinnenwinkel, außen</v>
      </c>
      <c r="F60" s="251"/>
      <c r="G60" s="251"/>
      <c r="H60" s="251"/>
      <c r="I60" s="251"/>
      <c r="J60" s="307" t="str">
        <f>Formeln!A183</f>
        <v/>
      </c>
      <c r="K60" s="308"/>
      <c r="L60" s="96" t="str">
        <f t="shared" si="1"/>
        <v xml:space="preserve"> </v>
      </c>
      <c r="M60" s="130"/>
      <c r="N60" s="87"/>
      <c r="O60" s="1"/>
      <c r="P60" s="191" t="e">
        <f>ROUNDUP($A60/R60,0)*R60 &amp; "  " &amp; Formeln!$A$111</f>
        <v>#VALUE!</v>
      </c>
      <c r="Q60" s="191" t="e">
        <f>ROUNDUP($A60/S60,0)*S60 &amp; "  " &amp; Formeln!$A$111</f>
        <v>#VALUE!</v>
      </c>
      <c r="R60" s="191" t="str">
        <f>IF($N$24=1,4,IF($N$24=3,4,IF($N$24=4,2,IF($N$24=5,2,""))))</f>
        <v/>
      </c>
      <c r="S60" s="191" t="str">
        <f>IF($N$24=1,1,IF($N$24=3,1,IF($N$24=4,1,IF($N$24=5,1,""))))</f>
        <v/>
      </c>
      <c r="T60" s="64" t="s">
        <v>447</v>
      </c>
      <c r="U60" s="64" t="s">
        <v>448</v>
      </c>
      <c r="V60" s="64">
        <v>524022</v>
      </c>
      <c r="W60" s="71"/>
      <c r="X60" s="64">
        <v>524023</v>
      </c>
      <c r="Y60" s="71">
        <v>524070</v>
      </c>
      <c r="Z60" s="71"/>
      <c r="AA60" s="71"/>
      <c r="AB60" s="71"/>
      <c r="AC60" s="71">
        <v>574071</v>
      </c>
      <c r="AD60" s="71"/>
      <c r="AE60" s="71"/>
      <c r="AF60" s="74">
        <f t="shared" si="3"/>
        <v>0</v>
      </c>
      <c r="AG60" s="74" t="s">
        <v>408</v>
      </c>
      <c r="AH60" s="64">
        <v>524008</v>
      </c>
      <c r="AI60" s="64">
        <v>524009</v>
      </c>
      <c r="AJ60" s="64">
        <v>524010</v>
      </c>
      <c r="AK60" s="64">
        <v>524029</v>
      </c>
      <c r="AL60" s="64">
        <v>524011</v>
      </c>
      <c r="AM60" s="64">
        <v>524025</v>
      </c>
      <c r="AN60" s="64">
        <v>524033</v>
      </c>
      <c r="AO60" s="64">
        <v>524027</v>
      </c>
      <c r="AP60" s="64">
        <v>524035</v>
      </c>
      <c r="AQ60" s="64">
        <v>524040</v>
      </c>
      <c r="AR60" s="64">
        <v>524038</v>
      </c>
      <c r="AS60" s="71">
        <v>524042</v>
      </c>
      <c r="AT60" s="74">
        <f>IF($N$21=1,AJ60,IF($N$21=2,AL60,IF($N$21=3,AK60,IF($N$21=4,AN60,IF($N$21=5,AO60,IF($N$21=6,AI60,IF($N$21=7,AP60,IF($N$21=8,AQ60,IF($N$21=9,AH60,0)))))))))</f>
        <v>0</v>
      </c>
      <c r="AU60" s="74" t="s">
        <v>410</v>
      </c>
      <c r="AV60" s="64">
        <v>524012</v>
      </c>
      <c r="AW60" s="64">
        <v>524013</v>
      </c>
      <c r="AX60" s="64">
        <v>524014</v>
      </c>
      <c r="AY60" s="71"/>
      <c r="AZ60" s="64">
        <v>524015</v>
      </c>
      <c r="BA60" s="71">
        <v>524084</v>
      </c>
      <c r="BB60" s="71"/>
      <c r="BC60" s="71">
        <v>524082</v>
      </c>
      <c r="BD60" s="71"/>
      <c r="BE60" s="71">
        <v>524085</v>
      </c>
      <c r="BF60" s="71">
        <v>524083</v>
      </c>
      <c r="BG60" s="71"/>
      <c r="BH60" s="74">
        <f>IF($N$21=1,AX60,IF($N$21=2,AZ60,IF($N$21=3,AY60,IF($N$21=4,BB60,IF($N$21=5,BC60,IF($N$21=6,AW60,IF($N$21=7,BD60,IF($N$21=8,BE60,IF($N$21=9,AV60,0)))))))))</f>
        <v>0</v>
      </c>
      <c r="BI60" s="74" t="s">
        <v>411</v>
      </c>
      <c r="BJ60" s="64">
        <v>524050</v>
      </c>
      <c r="BK60" s="64">
        <v>524053</v>
      </c>
      <c r="BL60" s="64">
        <v>524051</v>
      </c>
      <c r="BM60" s="71"/>
      <c r="BN60" s="64">
        <v>524052</v>
      </c>
      <c r="BO60" s="71"/>
      <c r="BP60" s="71"/>
      <c r="BQ60" s="71"/>
      <c r="BR60" s="71"/>
      <c r="BS60" s="71"/>
      <c r="BT60" s="71"/>
      <c r="BU60" s="71"/>
      <c r="BV60" s="74">
        <f>IF($N$21=1,BL60,IF($N$21=2,BN60,IF($N$21=3,BM60,IF($N$21=4,BP60,IF($N$21=5,BQ60,IF($N$21=6,BK60,IF($N$21=7,BR60,IF($N$21=8,BS60,IF($N$21=9,BJ60,0)))))))))</f>
        <v>0</v>
      </c>
      <c r="BW60" s="74" t="s">
        <v>446</v>
      </c>
    </row>
    <row r="61" spans="1:131" ht="32.1" customHeight="1">
      <c r="A61" s="131"/>
      <c r="B61" s="96" t="str">
        <f>VLOOKUP("STK",Sprachindex!A:Z,Info!$O$6,FALSE)</f>
        <v>STK</v>
      </c>
      <c r="C61" s="95"/>
      <c r="D61" s="95">
        <f>IF($N$24=1,AF61,IF($N$24=3,AT61,IF($N$24=4,BH61,IF($N$24=5,BV61,0))))</f>
        <v>0</v>
      </c>
      <c r="E61" s="250" t="str">
        <f>VLOOKUP("Kastenrinnenwinkel, innen",Sprachindex!A:Z,Info!$O$6,FALSE)</f>
        <v>Kastenrinnenwinkel, innen</v>
      </c>
      <c r="F61" s="251"/>
      <c r="G61" s="251"/>
      <c r="H61" s="251"/>
      <c r="I61" s="251"/>
      <c r="J61" s="307" t="str">
        <f>Formeln!A183</f>
        <v/>
      </c>
      <c r="K61" s="308"/>
      <c r="L61" s="96" t="str">
        <f t="shared" si="1"/>
        <v xml:space="preserve"> </v>
      </c>
      <c r="M61" s="130"/>
      <c r="N61" s="87"/>
      <c r="O61" s="1"/>
      <c r="P61" s="191" t="e">
        <f>ROUNDUP($A61/R61,0)*R61 &amp; "  " &amp; Formeln!$A$111</f>
        <v>#VALUE!</v>
      </c>
      <c r="Q61" s="191" t="e">
        <f>ROUNDUP($A61/S61,0)*S61 &amp; "  " &amp; Formeln!$A$111</f>
        <v>#VALUE!</v>
      </c>
      <c r="R61" s="191" t="str">
        <f>IF($N$24=1,4,IF($N$24=3,4,IF($N$24=4,2,IF($N$24=5,2,""))))</f>
        <v/>
      </c>
      <c r="S61" s="191" t="str">
        <f>IF($N$24=1,1,IF($N$24=3,1,IF($N$24=4,1,IF($N$24=5,1,""))))</f>
        <v/>
      </c>
      <c r="T61" s="64" t="s">
        <v>449</v>
      </c>
      <c r="U61" s="64" t="s">
        <v>450</v>
      </c>
      <c r="V61" s="64" t="s">
        <v>451</v>
      </c>
      <c r="W61" s="71"/>
      <c r="X61" s="64" t="s">
        <v>452</v>
      </c>
      <c r="Y61" s="71">
        <v>524080</v>
      </c>
      <c r="Z61" s="71"/>
      <c r="AA61" s="71"/>
      <c r="AB61" s="71"/>
      <c r="AC61" s="71">
        <v>524081</v>
      </c>
      <c r="AD61" s="71"/>
      <c r="AE61" s="71"/>
      <c r="AF61" s="74">
        <f t="shared" si="3"/>
        <v>0</v>
      </c>
      <c r="AG61" s="74" t="s">
        <v>408</v>
      </c>
      <c r="AH61" s="64">
        <v>524002</v>
      </c>
      <c r="AI61" s="64">
        <v>524003</v>
      </c>
      <c r="AJ61" s="64">
        <v>524004</v>
      </c>
      <c r="AK61" s="64">
        <v>524030</v>
      </c>
      <c r="AL61" s="64">
        <v>524007</v>
      </c>
      <c r="AM61" s="64">
        <v>524026</v>
      </c>
      <c r="AN61" s="64">
        <v>524034</v>
      </c>
      <c r="AO61" s="64">
        <v>524028</v>
      </c>
      <c r="AP61" s="64">
        <v>524036</v>
      </c>
      <c r="AQ61" s="64">
        <v>524039</v>
      </c>
      <c r="AR61" s="64">
        <v>524037</v>
      </c>
      <c r="AS61" s="71">
        <v>524041</v>
      </c>
      <c r="AT61" s="74">
        <f>IF($N$21=1,AJ61,IF($N$21=2,AL61,IF($N$21=3,AK61,IF($N$21=4,AN61,IF($N$21=5,AO61,IF($N$21=6,AI61,IF($N$21=7,AP61,IF($N$21=8,AQ61,IF($N$21=9,AH61,0)))))))))</f>
        <v>0</v>
      </c>
      <c r="AU61" s="74" t="s">
        <v>410</v>
      </c>
      <c r="AV61" s="64">
        <v>524005</v>
      </c>
      <c r="AW61" s="64">
        <v>524006</v>
      </c>
      <c r="AX61" s="64">
        <v>524001</v>
      </c>
      <c r="AY61" s="71"/>
      <c r="AZ61" s="64">
        <v>524016</v>
      </c>
      <c r="BA61" s="71">
        <v>524088</v>
      </c>
      <c r="BB61" s="71"/>
      <c r="BC61" s="71">
        <v>524086</v>
      </c>
      <c r="BD61" s="71"/>
      <c r="BE61" s="71">
        <v>524089</v>
      </c>
      <c r="BF61" s="71">
        <v>524087</v>
      </c>
      <c r="BG61" s="71"/>
      <c r="BH61" s="74">
        <f>IF($N$21=1,AX61,IF($N$21=2,AZ61,IF($N$21=3,AY61,IF($N$21=4,BB61,IF($N$21=5,BC61,IF($N$21=6,AW61,IF($N$21=7,BD61,IF($N$21=8,BE61,IF($N$21=9,AV61,0)))))))))</f>
        <v>0</v>
      </c>
      <c r="BI61" s="74" t="s">
        <v>411</v>
      </c>
      <c r="BJ61" s="64">
        <v>524060</v>
      </c>
      <c r="BK61" s="64">
        <v>524063</v>
      </c>
      <c r="BL61" s="64">
        <v>524061</v>
      </c>
      <c r="BM61" s="71"/>
      <c r="BN61" s="64">
        <v>524062</v>
      </c>
      <c r="BO61" s="71"/>
      <c r="BP61" s="71"/>
      <c r="BQ61" s="71"/>
      <c r="BR61" s="71"/>
      <c r="BS61" s="71"/>
      <c r="BT61" s="71"/>
      <c r="BU61" s="71"/>
      <c r="BV61" s="74">
        <f>IF($N$21=1,BL61,IF($N$21=2,BN61,IF($N$21=3,BM61,IF($N$21=4,BP61,IF($N$21=5,BQ61,IF($N$21=6,BK61,IF($N$21=7,BR61,IF($N$21=8,BS61,IF($N$21=9,BJ61,0)))))))))</f>
        <v>0</v>
      </c>
      <c r="BW61" s="74" t="s">
        <v>446</v>
      </c>
    </row>
    <row r="62" spans="1:131" ht="32.1" customHeight="1">
      <c r="A62" s="131"/>
      <c r="B62" s="96" t="str">
        <f>VLOOKUP("STK",Sprachindex!A:Z,Info!$O$6,FALSE)</f>
        <v>STK</v>
      </c>
      <c r="C62" s="95"/>
      <c r="D62" s="95">
        <f>IF(AND(N24=1,N25=2),AF62,IF(AND(N24=3,N25=3),AT62,IF(AND(N24=4,N25=4),BH62,IF(AND(N24=5,N25=4),BV62,IF(AND(N24=5,N25=5),CJ62,0)))))</f>
        <v>0</v>
      </c>
      <c r="E62" s="250" t="str">
        <f>VLOOKUP("Kastenrinnenkessel",Sprachindex!A:Z,Info!$O$6,FALSE)</f>
        <v>Kastenrinnenkessel</v>
      </c>
      <c r="F62" s="251"/>
      <c r="G62" s="251"/>
      <c r="H62" s="251"/>
      <c r="I62" s="101"/>
      <c r="J62" s="301" t="str">
        <f>Formeln!A222</f>
        <v/>
      </c>
      <c r="K62" s="309"/>
      <c r="L62" s="96" t="str">
        <f t="shared" si="1"/>
        <v xml:space="preserve"> </v>
      </c>
      <c r="M62" s="130"/>
      <c r="N62" s="87"/>
      <c r="O62" s="1"/>
      <c r="P62" s="191" t="e">
        <f>ROUNDUP($A62/R62,0)*R62 &amp; "  " &amp; Formeln!$A$111</f>
        <v>#VALUE!</v>
      </c>
      <c r="Q62" s="191" t="str">
        <f>ROUNDUP($A62/S62,0)*S62 &amp; "  " &amp; Formeln!$A$111</f>
        <v>0  STK</v>
      </c>
      <c r="R62" s="191" t="str">
        <f>IF(AND($N$24=1,$N$25=2),6,IF(AND($N$24=3,$N$25=3),10,IF(AND($N$24=4,$N$25=4),6,IF(AND($N$24=5,$N$25=4),1,IF(AND($N$24=5,$N$25=5),1,"")))))</f>
        <v/>
      </c>
      <c r="S62" s="191">
        <v>1</v>
      </c>
      <c r="T62" s="64">
        <v>548013</v>
      </c>
      <c r="U62" s="64">
        <v>548017</v>
      </c>
      <c r="V62" s="64">
        <v>548015</v>
      </c>
      <c r="W62" s="71"/>
      <c r="X62" s="64">
        <v>548016</v>
      </c>
      <c r="Y62" s="71">
        <v>548050</v>
      </c>
      <c r="Z62" s="71"/>
      <c r="AA62" s="71"/>
      <c r="AB62" s="71"/>
      <c r="AC62" s="71">
        <v>548051</v>
      </c>
      <c r="AD62" s="71"/>
      <c r="AE62" s="71"/>
      <c r="AF62" s="74">
        <f t="shared" si="3"/>
        <v>0</v>
      </c>
      <c r="AG62" s="74" t="s">
        <v>417</v>
      </c>
      <c r="AH62" s="64">
        <v>548003</v>
      </c>
      <c r="AI62" s="64">
        <v>548004</v>
      </c>
      <c r="AJ62" s="64">
        <v>548006</v>
      </c>
      <c r="AK62" s="64">
        <v>548020</v>
      </c>
      <c r="AL62" s="64">
        <v>548007</v>
      </c>
      <c r="AM62" s="64">
        <v>548018</v>
      </c>
      <c r="AN62" s="64">
        <v>548022</v>
      </c>
      <c r="AO62" s="64">
        <v>548019</v>
      </c>
      <c r="AP62" s="64">
        <v>548023</v>
      </c>
      <c r="AQ62" s="64">
        <v>548025</v>
      </c>
      <c r="AR62" s="64">
        <v>548024</v>
      </c>
      <c r="AS62" s="71">
        <v>548008</v>
      </c>
      <c r="AT62" s="74">
        <f>IF($N$21=1,AJ62,IF($N$21=2,AL62,IF($N$21=3,AK62,IF($N$21=4,AN62,IF($N$21=5,AO62,IF($N$21=6,AI62,IF($N$21=7,AP62,IF($N$21=8,AQ62,IF($N$21=9,AH62,0)))))))))</f>
        <v>0</v>
      </c>
      <c r="AU62" s="74" t="s">
        <v>421</v>
      </c>
      <c r="AV62" s="64">
        <v>548001</v>
      </c>
      <c r="AW62" s="64">
        <v>548002</v>
      </c>
      <c r="AX62" s="64">
        <v>548005</v>
      </c>
      <c r="AY62" s="71"/>
      <c r="AZ62" s="64">
        <v>548012</v>
      </c>
      <c r="BA62" s="71">
        <v>548062</v>
      </c>
      <c r="BB62" s="71"/>
      <c r="BC62" s="71">
        <v>548060</v>
      </c>
      <c r="BD62" s="71"/>
      <c r="BE62" s="71">
        <v>548063</v>
      </c>
      <c r="BF62" s="71">
        <v>548061</v>
      </c>
      <c r="BG62" s="71"/>
      <c r="BH62" s="74">
        <f>IF($N$21=1,AX62,IF($N$21=2,AZ62,IF($N$21=3,AY62,IF($N$21=4,BB62,IF($N$21=5,BC62,IF($N$21=6,AW62,IF($N$21=7,BD62,IF($N$21=8,BE62,IF($N$21=9,AV62,0)))))))))</f>
        <v>0</v>
      </c>
      <c r="BI62" s="74" t="s">
        <v>423</v>
      </c>
      <c r="BJ62" s="64">
        <v>548040</v>
      </c>
      <c r="BK62" s="64">
        <v>548043</v>
      </c>
      <c r="BL62" s="64">
        <v>548041</v>
      </c>
      <c r="BM62" s="71"/>
      <c r="BN62" s="64">
        <v>548042</v>
      </c>
      <c r="BO62" s="71"/>
      <c r="BP62" s="71"/>
      <c r="BQ62" s="71"/>
      <c r="BR62" s="71"/>
      <c r="BS62" s="71"/>
      <c r="BT62" s="71"/>
      <c r="BU62" s="71"/>
      <c r="BV62" s="74">
        <f>IF($N$21=1,BL62,IF($N$21=2,BN62,IF($N$21=3,BM62,IF($N$21=4,BP62,IF($N$21=5,BQ62,IF($N$21=6,BK62,IF($N$21=7,BR62,IF($N$21=8,BS62,IF($N$21=9,BJ62,0)))))))))</f>
        <v>0</v>
      </c>
      <c r="BW62" s="74" t="s">
        <v>453</v>
      </c>
      <c r="BX62" s="64">
        <v>548030</v>
      </c>
      <c r="BY62" s="64">
        <v>548033</v>
      </c>
      <c r="BZ62" s="64">
        <v>548031</v>
      </c>
      <c r="CA62" s="71"/>
      <c r="CB62" s="64">
        <v>548032</v>
      </c>
      <c r="CC62" s="71"/>
      <c r="CD62" s="71"/>
      <c r="CE62" s="71"/>
      <c r="CF62" s="71"/>
      <c r="CG62" s="71"/>
      <c r="CH62" s="71"/>
      <c r="CI62" s="71"/>
      <c r="CJ62" s="74">
        <f>IF($N$21=1,BZ62,IF($N$21=2,CB62,IF($N$21=3,CA62,IF($N$21=4,CD62,IF($N$21=5,CE62,IF($N$21=6,BY62,IF($N$21=7,CF62,IF($N$21=8,CG62,IF($N$21=9,BX62,0)))))))))</f>
        <v>0</v>
      </c>
      <c r="CK62" s="74" t="s">
        <v>454</v>
      </c>
    </row>
    <row r="63" spans="1:131" ht="32.1" customHeight="1">
      <c r="A63" s="131"/>
      <c r="B63" s="96" t="str">
        <f>VLOOKUP("lfm",Sprachindex!A:Z,Info!$O$6,FALSE)</f>
        <v>lfm</v>
      </c>
      <c r="C63" s="95"/>
      <c r="D63" s="95">
        <f>AF63</f>
        <v>0</v>
      </c>
      <c r="E63" s="250" t="str">
        <f>VLOOKUP("Saumrinne",Sprachindex!A:Z,Info!$O$6,FALSE)</f>
        <v>Saumrinne</v>
      </c>
      <c r="F63" s="251"/>
      <c r="G63" s="251"/>
      <c r="H63" s="251"/>
      <c r="I63" s="251"/>
      <c r="J63" s="307" t="str">
        <f>VLOOKUP("700 × 1,0 mm",Sprachindex!A:Z,Info!$O$6,FALSE)</f>
        <v>700 × 1,0 mm</v>
      </c>
      <c r="K63" s="308"/>
      <c r="L63" s="96" t="str">
        <f t="shared" si="1"/>
        <v xml:space="preserve"> </v>
      </c>
      <c r="M63" s="130"/>
      <c r="N63" s="87"/>
      <c r="O63" s="1"/>
      <c r="P63" s="191" t="str">
        <f>ROUNDUP($A63/$R63,0)*$R63 &amp; "  " &amp; Formeln!$A$112 &amp; "                     " &amp; " (" &amp; ROUNDUP($A63/$R63,0)*$R63/$S63 &amp; " " &amp; Formeln!$A$111 &amp; ")"</f>
        <v>0  lfm                      (0 STK)</v>
      </c>
      <c r="Q63" s="191" t="str">
        <f>ROUNDUP($A63/$S63,0)*$S63 &amp; "  " &amp; Formeln!$A$112 &amp; "                     " &amp; " (" &amp; ROUNDUP($A63/$S63,0)*$S63/$S63 &amp; " " &amp; Formeln!$A$111 &amp; ")"</f>
        <v>0  lfm                      (0 STK)</v>
      </c>
      <c r="R63" s="191">
        <v>30</v>
      </c>
      <c r="S63" s="191">
        <v>6</v>
      </c>
      <c r="T63" s="64">
        <v>575002</v>
      </c>
      <c r="U63" s="64">
        <v>575001</v>
      </c>
      <c r="V63" s="64">
        <v>575005</v>
      </c>
      <c r="W63" s="64">
        <v>575010</v>
      </c>
      <c r="X63" s="64">
        <v>575006</v>
      </c>
      <c r="Y63" s="64">
        <v>575009</v>
      </c>
      <c r="Z63" s="64">
        <v>575011</v>
      </c>
      <c r="AA63" s="64">
        <v>575008</v>
      </c>
      <c r="AB63" s="64">
        <v>575012</v>
      </c>
      <c r="AC63" s="71"/>
      <c r="AD63" s="71"/>
      <c r="AE63" s="71"/>
      <c r="AF63" s="74">
        <f t="shared" si="3"/>
        <v>0</v>
      </c>
      <c r="AG63" s="74"/>
    </row>
    <row r="64" spans="1:131" ht="32.1" customHeight="1">
      <c r="A64" s="131"/>
      <c r="B64" s="96" t="str">
        <f>VLOOKUP("STK",Sprachindex!A:Z,Info!$O$6,FALSE)</f>
        <v>STK</v>
      </c>
      <c r="C64" s="95"/>
      <c r="D64" s="95">
        <f>AF64</f>
        <v>0</v>
      </c>
      <c r="E64" s="250" t="str">
        <f>VLOOKUP("Saumrinnen-Endboden ",Sprachindex!A:Z,Info!$O$6,FALSE)</f>
        <v xml:space="preserve">Saumrinnen-Endboden </v>
      </c>
      <c r="F64" s="251"/>
      <c r="G64" s="251"/>
      <c r="H64" s="251"/>
      <c r="I64" s="251"/>
      <c r="J64" s="307"/>
      <c r="K64" s="308"/>
      <c r="L64" s="96" t="str">
        <f t="shared" si="1"/>
        <v xml:space="preserve"> </v>
      </c>
      <c r="M64" s="130"/>
      <c r="N64" s="87"/>
      <c r="O64" s="1"/>
      <c r="P64" s="191" t="str">
        <f>ROUNDUP($A64/R64,0)*R64 &amp; "  " &amp; Formeln!$A$111</f>
        <v>0  STK</v>
      </c>
      <c r="Q64" s="191" t="str">
        <f>ROUNDUP($A64/S64,0)*S64 &amp; "  " &amp; Formeln!$A$111</f>
        <v>0  STK</v>
      </c>
      <c r="R64" s="191">
        <v>1</v>
      </c>
      <c r="S64" s="191">
        <v>1</v>
      </c>
      <c r="T64" s="64">
        <v>517300</v>
      </c>
      <c r="U64" s="64">
        <v>517303</v>
      </c>
      <c r="V64" s="64">
        <v>517301</v>
      </c>
      <c r="W64" s="64">
        <v>517304</v>
      </c>
      <c r="X64" s="64">
        <v>517302</v>
      </c>
      <c r="Y64" s="64">
        <v>517308</v>
      </c>
      <c r="Z64" s="64">
        <v>517305</v>
      </c>
      <c r="AA64" s="64">
        <v>517306</v>
      </c>
      <c r="AB64" s="64">
        <v>517307</v>
      </c>
      <c r="AC64" s="71"/>
      <c r="AD64" s="71"/>
      <c r="AE64" s="71"/>
      <c r="AF64" s="74">
        <f t="shared" si="3"/>
        <v>0</v>
      </c>
      <c r="AG64" s="74"/>
    </row>
    <row r="65" spans="1:89" ht="32.1" customHeight="1">
      <c r="A65" s="131"/>
      <c r="B65" s="96" t="str">
        <f>VLOOKUP("STK",Sprachindex!A:Z,Info!$O$6,FALSE)</f>
        <v>STK</v>
      </c>
      <c r="C65" s="95"/>
      <c r="D65" s="95">
        <f>AF65</f>
        <v>0</v>
      </c>
      <c r="E65" s="250" t="str">
        <f>VLOOKUP("Saumrinnenstutzen",Sprachindex!A:Z,Info!$O$6,FALSE)</f>
        <v>Saumrinnenstutzen</v>
      </c>
      <c r="F65" s="251"/>
      <c r="G65" s="251"/>
      <c r="H65" s="251"/>
      <c r="I65" s="251"/>
      <c r="J65" s="307" t="str">
        <f>VLOOKUP("100 ⌀",Sprachindex!A:Z,Info!$O$6,FALSE)</f>
        <v>100 ⌀</v>
      </c>
      <c r="K65" s="308"/>
      <c r="L65" s="96" t="str">
        <f t="shared" si="1"/>
        <v xml:space="preserve"> </v>
      </c>
      <c r="M65" s="130"/>
      <c r="N65" s="87"/>
      <c r="O65" s="1"/>
      <c r="P65" s="191" t="str">
        <f>ROUNDUP($A65/R65,0)*R65 &amp; "  " &amp; Formeln!$A$111</f>
        <v>0  STK</v>
      </c>
      <c r="Q65" s="191" t="str">
        <f>ROUNDUP($A65/S65,0)*S65 &amp; "  " &amp; Formeln!$A$111</f>
        <v>0  STK</v>
      </c>
      <c r="R65" s="191">
        <v>1</v>
      </c>
      <c r="S65" s="191">
        <v>1</v>
      </c>
      <c r="T65" s="64">
        <v>520200</v>
      </c>
      <c r="U65" s="64">
        <v>520203</v>
      </c>
      <c r="V65" s="64">
        <v>520201</v>
      </c>
      <c r="W65" s="64">
        <v>520206</v>
      </c>
      <c r="X65" s="64">
        <v>520202</v>
      </c>
      <c r="Y65" s="64">
        <v>520205</v>
      </c>
      <c r="Z65" s="64">
        <v>520207</v>
      </c>
      <c r="AA65" s="64">
        <v>520204</v>
      </c>
      <c r="AB65" s="64">
        <v>520208</v>
      </c>
      <c r="AC65" s="71"/>
      <c r="AD65" s="71"/>
      <c r="AE65" s="71"/>
      <c r="AF65" s="74">
        <f t="shared" si="3"/>
        <v>0</v>
      </c>
      <c r="AG65" s="74"/>
    </row>
    <row r="66" spans="1:89" ht="32.1" customHeight="1">
      <c r="A66" s="131"/>
      <c r="B66" s="96" t="str">
        <f>VLOOKUP("STK",Sprachindex!A:Z,Info!$O$6,FALSE)</f>
        <v>STK</v>
      </c>
      <c r="C66" s="95"/>
      <c r="D66" s="95">
        <f>AF66</f>
        <v>0</v>
      </c>
      <c r="E66" s="250" t="str">
        <f>VLOOKUP("Saumrinnenhaken",Sprachindex!A:Z,Info!$O$6,FALSE)</f>
        <v>Saumrinnenhaken</v>
      </c>
      <c r="F66" s="251"/>
      <c r="G66" s="251"/>
      <c r="H66" s="251"/>
      <c r="I66" s="251"/>
      <c r="J66" s="307" t="str">
        <f>VLOOKUP("28 × 7 mm",Sprachindex!A:Z,Info!$O$6,FALSE)</f>
        <v>28 × 7 mm</v>
      </c>
      <c r="K66" s="308"/>
      <c r="L66" s="96" t="str">
        <f t="shared" si="1"/>
        <v xml:space="preserve"> </v>
      </c>
      <c r="M66" s="130"/>
      <c r="N66" s="87"/>
      <c r="O66" s="1"/>
      <c r="P66" s="191" t="str">
        <f>ROUNDUP($A66/R66,0)*R66 &amp; "  " &amp; Formeln!$A$111</f>
        <v>0  STK</v>
      </c>
      <c r="Q66" s="191" t="str">
        <f>ROUNDUP($A66/S66,0)*S66 &amp; "  " &amp; Formeln!$A$111</f>
        <v>0  STK</v>
      </c>
      <c r="R66" s="191">
        <v>20</v>
      </c>
      <c r="S66" s="191">
        <v>1</v>
      </c>
      <c r="T66" s="64">
        <v>523003</v>
      </c>
      <c r="U66" s="64">
        <v>523004</v>
      </c>
      <c r="V66" s="64">
        <v>523005</v>
      </c>
      <c r="W66" s="64">
        <v>523009</v>
      </c>
      <c r="X66" s="64">
        <v>523006</v>
      </c>
      <c r="Y66" s="64">
        <v>523007</v>
      </c>
      <c r="Z66" s="64">
        <v>523010</v>
      </c>
      <c r="AA66" s="64">
        <v>523008</v>
      </c>
      <c r="AB66" s="64">
        <v>523011</v>
      </c>
      <c r="AC66" s="71"/>
      <c r="AD66" s="71"/>
      <c r="AE66" s="71"/>
      <c r="AF66" s="74">
        <f t="shared" si="3"/>
        <v>0</v>
      </c>
      <c r="AG66" s="74"/>
    </row>
    <row r="67" spans="1:89" ht="32.1" customHeight="1">
      <c r="A67" s="131"/>
      <c r="B67" s="96" t="str">
        <f>VLOOKUP("lfm",Sprachindex!A:Z,Info!$O$6,FALSE)</f>
        <v>lfm</v>
      </c>
      <c r="C67" s="95"/>
      <c r="D67" s="95">
        <f>IF($N$25=2,AF67,IF($N$25=3,AT67,IF($N$25=4,BH67,IF($N$25=5,BV67,0))))</f>
        <v>0</v>
      </c>
      <c r="E67" s="250" t="str">
        <f>VLOOKUP("Ablaufrohr mit Schutzfolie",Sprachindex!A:Z,Info!$O$6,FALSE)</f>
        <v>Ablaufrohr mit Schutzfolie</v>
      </c>
      <c r="F67" s="251"/>
      <c r="G67" s="251"/>
      <c r="H67" s="251"/>
      <c r="I67" s="251"/>
      <c r="J67" s="307" t="str">
        <f>Formeln!A227</f>
        <v/>
      </c>
      <c r="K67" s="308"/>
      <c r="L67" s="96" t="str">
        <f t="shared" si="1"/>
        <v xml:space="preserve"> </v>
      </c>
      <c r="M67" s="130"/>
      <c r="N67" s="87"/>
      <c r="O67" s="1"/>
      <c r="P67" s="191" t="e">
        <f>ROUNDUP($A67/R67,0)*R67 &amp; "  " &amp; Formeln!$A$112 &amp; "                     " &amp; " (" &amp; ROUNDUP($A67/$R67,0)*$R67/$S67 &amp; " " &amp; Formeln!$A$111 &amp; ")"</f>
        <v>#VALUE!</v>
      </c>
      <c r="Q67" s="191" t="str">
        <f>ROUNDUP($A67/S67,0)*S67 &amp; "  " &amp; Formeln!$A$112 &amp; "                     " &amp; " (" &amp; ROUNDUP($A67/$S67,0)*$S67/$S67  &amp; " " &amp; Formeln!$A$111 &amp; ")"</f>
        <v>0  lfm                      (0 STK)</v>
      </c>
      <c r="R67" s="191" t="str">
        <f>IF($N$25=2,60,IF($N$25=3,39,IF($N$25=4,24,IF($N$25=5,18,""))))</f>
        <v/>
      </c>
      <c r="S67" s="191">
        <v>3</v>
      </c>
      <c r="T67" s="64">
        <v>574012</v>
      </c>
      <c r="U67" s="64">
        <v>574013</v>
      </c>
      <c r="V67" s="64">
        <v>574009</v>
      </c>
      <c r="W67" s="64">
        <v>574021</v>
      </c>
      <c r="X67" s="64">
        <v>574015</v>
      </c>
      <c r="Y67" s="64">
        <v>574020</v>
      </c>
      <c r="Z67" s="64">
        <v>574027</v>
      </c>
      <c r="AA67" s="64">
        <v>574024</v>
      </c>
      <c r="AB67" s="64">
        <v>574036</v>
      </c>
      <c r="AC67" s="64">
        <v>574042</v>
      </c>
      <c r="AD67" s="64">
        <v>574039</v>
      </c>
      <c r="AE67" s="71">
        <v>574044</v>
      </c>
      <c r="AF67" s="74">
        <f t="shared" si="3"/>
        <v>0</v>
      </c>
      <c r="AG67" s="74">
        <v>80</v>
      </c>
      <c r="AH67" s="64">
        <v>574005</v>
      </c>
      <c r="AI67" s="64">
        <v>574006</v>
      </c>
      <c r="AJ67" s="64">
        <v>574003</v>
      </c>
      <c r="AK67" s="64">
        <v>574019</v>
      </c>
      <c r="AL67" s="64">
        <v>574001</v>
      </c>
      <c r="AM67" s="64">
        <v>574018</v>
      </c>
      <c r="AN67" s="64">
        <v>574028</v>
      </c>
      <c r="AO67" s="64">
        <v>574025</v>
      </c>
      <c r="AP67" s="64">
        <v>574030</v>
      </c>
      <c r="AQ67" s="64">
        <v>574038</v>
      </c>
      <c r="AR67" s="64">
        <v>574040</v>
      </c>
      <c r="AS67" s="71">
        <v>574045</v>
      </c>
      <c r="AT67" s="74">
        <f>IF($N$21=1,AJ67,IF($N$21=2,AL67,IF($N$21=3,AK67,IF($N$21=4,AN67,IF($N$21=5,AO67,IF($N$21=6,AI67,IF($N$21=7,AP67,IF($N$21=8,AQ67,IF($N$21=9,AH67,0)))))))))</f>
        <v>0</v>
      </c>
      <c r="AU67" s="74">
        <v>100</v>
      </c>
      <c r="AV67" s="64">
        <v>574007</v>
      </c>
      <c r="AW67" s="64">
        <v>574004</v>
      </c>
      <c r="AX67" s="64">
        <v>574010</v>
      </c>
      <c r="AY67" s="64">
        <v>574023</v>
      </c>
      <c r="AZ67" s="64">
        <v>574011</v>
      </c>
      <c r="BA67" s="64">
        <v>574022</v>
      </c>
      <c r="BB67" s="64">
        <v>574029</v>
      </c>
      <c r="BC67" s="64">
        <v>574026</v>
      </c>
      <c r="BD67" s="64">
        <v>574037</v>
      </c>
      <c r="BE67" s="64">
        <v>574043</v>
      </c>
      <c r="BF67" s="64">
        <v>574041</v>
      </c>
      <c r="BG67" s="71">
        <v>574046</v>
      </c>
      <c r="BH67" s="74">
        <f>IF($N$21=1,AX67,IF($N$21=2,AZ67,IF($N$21=3,AY67,IF($N$21=4,BB67,IF($N$21=5,BC67,IF($N$21=6,AW67,IF($N$21=7,BD67,IF($N$21=8,BE67,IF($N$21=9,AV67,0)))))))))</f>
        <v>0</v>
      </c>
      <c r="BI67" s="74">
        <v>120</v>
      </c>
      <c r="BJ67" s="64">
        <v>574008</v>
      </c>
      <c r="BK67" s="64">
        <v>574002</v>
      </c>
      <c r="BL67" s="64">
        <v>574014</v>
      </c>
      <c r="BM67" s="71"/>
      <c r="BN67" s="64">
        <v>574017</v>
      </c>
      <c r="BO67" s="71"/>
      <c r="BP67" s="71"/>
      <c r="BQ67" s="71"/>
      <c r="BR67" s="71"/>
      <c r="BS67" s="71"/>
      <c r="BT67" s="71"/>
      <c r="BU67" s="71"/>
      <c r="BV67" s="74">
        <f>IF($N$21=1,BL67,IF($N$21=2,BN67,IF($N$21=3,BM67,IF($N$21=4,BP67,IF($N$21=5,BQ67,IF($N$21=6,BK67,IF($N$21=7,BR67,IF($N$21=8,BS67,IF($N$21=9,BJ67,0)))))))))</f>
        <v>0</v>
      </c>
      <c r="BW67" s="74">
        <v>150</v>
      </c>
    </row>
    <row r="68" spans="1:89" ht="32.1" customHeight="1">
      <c r="A68" s="131"/>
      <c r="B68" s="96" t="str">
        <f>VLOOKUP("STK",Sprachindex!A:Z,Info!$O$6,FALSE)</f>
        <v>STK</v>
      </c>
      <c r="C68" s="95"/>
      <c r="D68" s="95">
        <f>IF(N25=1,AF68,0)</f>
        <v>0</v>
      </c>
      <c r="E68" s="250" t="str">
        <f>VLOOKUP("Ablaufrohr, 60",Sprachindex!A:Z,Info!$O$6,FALSE)</f>
        <v>Ablaufrohr, 60</v>
      </c>
      <c r="F68" s="251"/>
      <c r="G68" s="251"/>
      <c r="H68" s="251"/>
      <c r="I68" s="251"/>
      <c r="J68" s="307" t="str">
        <f>Formeln!A245</f>
        <v>60 ⌀ × 3.000 mm</v>
      </c>
      <c r="K68" s="308"/>
      <c r="L68" s="96" t="str">
        <f t="shared" si="1"/>
        <v xml:space="preserve"> </v>
      </c>
      <c r="M68" s="130"/>
      <c r="N68" s="87"/>
      <c r="O68" s="1"/>
      <c r="P68" s="191" t="e">
        <f>ROUNDUP($A68/R68,0)*R68 &amp; "  " &amp; Formeln!$A$112 &amp; "                     " &amp; " (" &amp; ROUNDUP($A68/$R68,0)*$R68/$S68 &amp; " " &amp; Formeln!$A$111 &amp; ")"</f>
        <v>#VALUE!</v>
      </c>
      <c r="Q68" s="191" t="str">
        <f>ROUNDUP($A68/S68,0)*S68 &amp; "  " &amp; Formeln!$A$112 &amp; "                     " &amp; " (" &amp; ROUNDUP($A68/$S68,0)*$S68/$S68  &amp; " " &amp; Formeln!$A$111 &amp; ")"</f>
        <v>0  lfm                      (0 STK)</v>
      </c>
      <c r="R68" s="191" t="str">
        <f>IF($N$25=1,3,"")</f>
        <v/>
      </c>
      <c r="S68" s="191">
        <v>3</v>
      </c>
      <c r="T68" s="64">
        <v>574061</v>
      </c>
      <c r="U68" s="64">
        <v>574064</v>
      </c>
      <c r="V68" s="64">
        <v>574062</v>
      </c>
      <c r="W68" s="71"/>
      <c r="X68" s="64">
        <v>574063</v>
      </c>
      <c r="Y68" s="71"/>
      <c r="Z68" s="71"/>
      <c r="AA68" s="71"/>
      <c r="AB68" s="71"/>
      <c r="AC68" s="71"/>
      <c r="AD68" s="71"/>
      <c r="AE68" s="71"/>
      <c r="AF68" s="74">
        <f t="shared" si="3"/>
        <v>0</v>
      </c>
      <c r="AG68" s="74">
        <v>60</v>
      </c>
    </row>
    <row r="69" spans="1:89" ht="32.1" customHeight="1">
      <c r="A69" s="131"/>
      <c r="B69" s="96" t="str">
        <f>VLOOKUP("STK",Sprachindex!A:Z,Info!$O$6,FALSE)</f>
        <v>STK</v>
      </c>
      <c r="C69" s="95"/>
      <c r="D69" s="95">
        <f>IF($N$25=3,AF69,0)</f>
        <v>0</v>
      </c>
      <c r="E69" s="250" t="str">
        <f>VLOOKUP("Ablaufrohr 100, 1,6 mm, inkl. Muffe",Sprachindex!A:Z,Info!$O$6,FALSE)</f>
        <v>Ablaufrohr 100, 1,6 mm, inkl. Muffe</v>
      </c>
      <c r="F69" s="251"/>
      <c r="G69" s="251"/>
      <c r="H69" s="251"/>
      <c r="I69" s="251"/>
      <c r="J69" s="307" t="str">
        <f>Formeln!A248</f>
        <v>100 ⌀ × 1.450 mm</v>
      </c>
      <c r="K69" s="308"/>
      <c r="L69" s="96" t="str">
        <f t="shared" si="1"/>
        <v xml:space="preserve"> </v>
      </c>
      <c r="M69" s="130"/>
      <c r="N69" s="87"/>
      <c r="O69" s="1"/>
      <c r="P69" s="191" t="e">
        <f>ROUNDUP($A69/R69,0)*R69 &amp; "  " &amp; Formeln!$A$111</f>
        <v>#VALUE!</v>
      </c>
      <c r="Q69" s="191" t="str">
        <f>ROUNDUP($A69/S69,0)*S69 &amp; "  " &amp; Formeln!$A$111</f>
        <v>0  STK</v>
      </c>
      <c r="R69" s="191" t="str">
        <f>IF($N$25=3,1,"")</f>
        <v/>
      </c>
      <c r="S69" s="191">
        <v>1</v>
      </c>
      <c r="T69" s="64" t="s">
        <v>455</v>
      </c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71"/>
      <c r="AF69" s="74">
        <f t="shared" si="3"/>
        <v>0</v>
      </c>
      <c r="AG69" s="74"/>
    </row>
    <row r="70" spans="1:89" ht="32.1" customHeight="1">
      <c r="A70" s="131"/>
      <c r="B70" s="96" t="str">
        <f>VLOOKUP("STK",Sprachindex!A:Z,Info!$O$6,FALSE)</f>
        <v>STK</v>
      </c>
      <c r="C70" s="95"/>
      <c r="D70" s="95">
        <f>IF($N$25=2,AF70,IF($N$25=3,AT70,IF($N$25=4,BH70,IF($N$25=5,BV70,IF($N$25=1,CJ70,0)))))</f>
        <v>0</v>
      </c>
      <c r="E70" s="250" t="str">
        <f>VLOOKUP("Rohrschelle für Ablaufrohr",Sprachindex!A:Z,Info!$O$6,FALSE)</f>
        <v>Rohrschelle für Ablaufrohr</v>
      </c>
      <c r="F70" s="251"/>
      <c r="G70" s="251"/>
      <c r="H70" s="251"/>
      <c r="I70" s="251"/>
      <c r="J70" s="307" t="str">
        <f>Formeln!A230</f>
        <v/>
      </c>
      <c r="K70" s="308"/>
      <c r="L70" s="96" t="str">
        <f t="shared" si="1"/>
        <v xml:space="preserve"> </v>
      </c>
      <c r="M70" s="130"/>
      <c r="N70" s="87"/>
      <c r="O70" s="1"/>
      <c r="P70" s="191" t="e">
        <f>ROUNDUP($A70/R70,0)*R70 &amp; "  " &amp; Formeln!$A$111</f>
        <v>#VALUE!</v>
      </c>
      <c r="Q70" s="191" t="str">
        <f>ROUNDUP($A70/S70,0)*S70 &amp; "  " &amp; Formeln!$A$111</f>
        <v>0  STK</v>
      </c>
      <c r="R70" s="191" t="str">
        <f>IF($N$25=1,2,IF($N$25=2,25,IF($N$25=3,25,IF($N$25=4,25,IF($N$25=5,15,"")))))</f>
        <v/>
      </c>
      <c r="S70" s="191">
        <v>1</v>
      </c>
      <c r="T70" s="64">
        <v>529600</v>
      </c>
      <c r="U70" s="64">
        <v>529603</v>
      </c>
      <c r="V70" s="64">
        <v>529601</v>
      </c>
      <c r="W70" s="64">
        <v>529605</v>
      </c>
      <c r="X70" s="64">
        <v>529602</v>
      </c>
      <c r="Y70" s="64">
        <v>529607</v>
      </c>
      <c r="Z70" s="64">
        <v>529606</v>
      </c>
      <c r="AA70" s="64">
        <v>529604</v>
      </c>
      <c r="AB70" s="64">
        <v>529608</v>
      </c>
      <c r="AC70" s="64">
        <v>529609</v>
      </c>
      <c r="AD70" s="64">
        <v>529610</v>
      </c>
      <c r="AE70" s="71">
        <v>529611</v>
      </c>
      <c r="AF70" s="74">
        <f t="shared" si="3"/>
        <v>0</v>
      </c>
      <c r="AG70" s="74">
        <v>80</v>
      </c>
      <c r="AH70" s="64">
        <v>529620</v>
      </c>
      <c r="AI70" s="64">
        <v>529623</v>
      </c>
      <c r="AJ70" s="64">
        <v>529621</v>
      </c>
      <c r="AK70" s="64">
        <v>529625</v>
      </c>
      <c r="AL70" s="64">
        <v>529622</v>
      </c>
      <c r="AM70" s="64">
        <v>529627</v>
      </c>
      <c r="AN70" s="64">
        <v>529626</v>
      </c>
      <c r="AO70" s="64">
        <v>529624</v>
      </c>
      <c r="AP70" s="64">
        <v>529628</v>
      </c>
      <c r="AQ70" s="64">
        <v>529629</v>
      </c>
      <c r="AR70" s="64">
        <v>529630</v>
      </c>
      <c r="AS70" s="71">
        <v>529631</v>
      </c>
      <c r="AT70" s="74">
        <f>IF($N$21=1,AJ70,IF($N$21=2,AL70,IF($N$21=3,AK70,IF($N$21=4,AN70,IF($N$21=5,AO70,IF($N$21=6,AI70,IF($N$21=7,AP70,IF($N$21=8,AQ70,IF($N$21=9,AH70,0)))))))))</f>
        <v>0</v>
      </c>
      <c r="AU70" s="74">
        <v>100</v>
      </c>
      <c r="AV70" s="64">
        <v>529640</v>
      </c>
      <c r="AW70" s="64">
        <v>529643</v>
      </c>
      <c r="AX70" s="64">
        <v>529641</v>
      </c>
      <c r="AY70" s="64">
        <v>529645</v>
      </c>
      <c r="AZ70" s="64">
        <v>529642</v>
      </c>
      <c r="BA70" s="64">
        <v>529647</v>
      </c>
      <c r="BB70" s="64">
        <v>529646</v>
      </c>
      <c r="BC70" s="64">
        <v>529644</v>
      </c>
      <c r="BD70" s="64">
        <v>529648</v>
      </c>
      <c r="BE70" s="64">
        <v>529649</v>
      </c>
      <c r="BF70" s="64">
        <v>529650</v>
      </c>
      <c r="BG70" s="71">
        <v>529651</v>
      </c>
      <c r="BH70" s="74">
        <f>IF($N$21=1,AX70,IF($N$21=2,AZ70,IF($N$21=3,AY70,IF($N$21=4,BB70,IF($N$21=5,BC70,IF($N$21=6,AW70,IF($N$21=7,BD70,IF($N$21=8,BE70,IF($N$21=9,AV70,0)))))))))</f>
        <v>0</v>
      </c>
      <c r="BI70" s="74">
        <v>120</v>
      </c>
      <c r="BJ70" s="64">
        <v>529207</v>
      </c>
      <c r="BK70" s="64">
        <v>529662</v>
      </c>
      <c r="BL70" s="64">
        <v>529660</v>
      </c>
      <c r="BM70" s="71"/>
      <c r="BN70" s="64">
        <v>529661</v>
      </c>
      <c r="BO70" s="71"/>
      <c r="BP70" s="71"/>
      <c r="BQ70" s="71"/>
      <c r="BR70" s="71"/>
      <c r="BS70" s="71"/>
      <c r="BT70" s="71"/>
      <c r="BU70" s="71"/>
      <c r="BV70" s="74">
        <f>IF($N$21=1,BL70,IF($N$21=2,BN70,IF($N$21=3,BM70,IF($N$21=4,BP70,IF($N$21=5,BQ70,IF($N$21=6,BK70,IF($N$21=7,BR70,IF($N$21=8,BS70,IF($N$21=9,BJ70,0)))))))))</f>
        <v>0</v>
      </c>
      <c r="BW70" s="74">
        <v>150</v>
      </c>
      <c r="BX70" s="71">
        <v>529670</v>
      </c>
      <c r="BY70" s="71">
        <v>529673</v>
      </c>
      <c r="BZ70" s="71">
        <v>529671</v>
      </c>
      <c r="CA70" s="71"/>
      <c r="CB70" s="71">
        <v>529672</v>
      </c>
      <c r="CC70" s="71"/>
      <c r="CD70" s="71"/>
      <c r="CE70" s="71"/>
      <c r="CF70" s="71"/>
      <c r="CG70" s="71"/>
      <c r="CH70" s="71"/>
      <c r="CI70" s="71"/>
      <c r="CJ70" s="74">
        <f>IF($N$21=1,BZ70,IF($N$21=2,CB70,IF($N$21=3,CA70,IF($N$21=4,CD70,IF($N$21=5,CE70,IF($N$21=6,BY70,IF($N$21=7,CF70,IF($N$21=8,CG70,IF($N$21=9,BX70,0)))))))))</f>
        <v>0</v>
      </c>
      <c r="CK70" s="74">
        <v>60</v>
      </c>
    </row>
    <row r="71" spans="1:89" ht="32.1" customHeight="1">
      <c r="A71" s="131"/>
      <c r="B71" s="96" t="str">
        <f>VLOOKUP("STK",Sprachindex!A:Z,Info!$O$6,FALSE)</f>
        <v>STK</v>
      </c>
      <c r="C71" s="95"/>
      <c r="D71" s="95">
        <f>IF(J71=Formeln!A282,345020,IF(J71=Formeln!A283,345022,0))</f>
        <v>0</v>
      </c>
      <c r="E71" s="250" t="str">
        <f>VLOOKUP("Rohrschellendorn",Sprachindex!A:Z,Info!$O$6,FALSE)</f>
        <v>Rohrschellendorn</v>
      </c>
      <c r="F71" s="251"/>
      <c r="G71" s="251"/>
      <c r="H71" s="251"/>
      <c r="I71" s="101" t="str">
        <f>VLOOKUP("Länge wählen:",Sprachindex!A:Z,Info!$O$6,FALSE)</f>
        <v>Länge wählen:</v>
      </c>
      <c r="J71" s="301"/>
      <c r="K71" s="309"/>
      <c r="L71" s="96" t="str">
        <f t="shared" si="1"/>
        <v xml:space="preserve"> </v>
      </c>
      <c r="M71" s="130"/>
      <c r="N71" s="87"/>
      <c r="O71" s="1"/>
      <c r="P71" s="191" t="e">
        <f>ROUNDUP($A71/R71,0)*R71 &amp; "  " &amp; Formeln!$A$111</f>
        <v>#VALUE!</v>
      </c>
      <c r="Q71" s="191" t="str">
        <f>ROUNDUP($A71/S71,0)*S71 &amp; "  " &amp; Formeln!$A$111</f>
        <v>0  STK</v>
      </c>
      <c r="R71" s="191" t="str">
        <f>IF(J71=Formeln!$A$281,"",25)</f>
        <v/>
      </c>
      <c r="S71" s="191">
        <v>1</v>
      </c>
    </row>
    <row r="72" spans="1:89" ht="32.1" customHeight="1">
      <c r="A72" s="131"/>
      <c r="B72" s="96" t="str">
        <f>VLOOKUP("STK",Sprachindex!A:Z,Info!$O$6,FALSE)</f>
        <v>STK</v>
      </c>
      <c r="C72" s="95"/>
      <c r="D72" s="95">
        <f>IF(J72=Formeln!A150,345030,IF(J72=Formeln!A151,345031,IF(J72=Formeln!A152,345032,0)))</f>
        <v>0</v>
      </c>
      <c r="E72" s="250" t="str">
        <f>VLOOKUP("Rohrschellendorn, für Dübel ",Sprachindex!A:Z,Info!$O$6,FALSE)</f>
        <v xml:space="preserve">Rohrschellendorn, für Dübel </v>
      </c>
      <c r="F72" s="251"/>
      <c r="G72" s="251"/>
      <c r="H72" s="251"/>
      <c r="I72" s="101" t="str">
        <f>VLOOKUP("Länge wählen:",Sprachindex!A:Z,Info!$O$6,FALSE)</f>
        <v>Länge wählen:</v>
      </c>
      <c r="J72" s="301"/>
      <c r="K72" s="309"/>
      <c r="L72" s="96" t="str">
        <f t="shared" si="1"/>
        <v xml:space="preserve"> </v>
      </c>
      <c r="M72" s="130"/>
      <c r="N72" s="87"/>
      <c r="O72" s="1"/>
      <c r="P72" s="191" t="e">
        <f>ROUNDUP($A72/R72,0)*R72 &amp; "  " &amp; Formeln!$A$111</f>
        <v>#VALUE!</v>
      </c>
      <c r="Q72" s="191" t="str">
        <f>ROUNDUP($A72/S72,0)*S72 &amp; "  " &amp; Formeln!$A$111</f>
        <v>0  STK</v>
      </c>
      <c r="R72" s="191" t="str">
        <f>IF(J72=Formeln!$A$149,"",25)</f>
        <v/>
      </c>
      <c r="S72" s="191">
        <v>1</v>
      </c>
    </row>
    <row r="73" spans="1:89" ht="32.1" customHeight="1">
      <c r="A73" s="131"/>
      <c r="B73" s="96" t="str">
        <f>VLOOKUP("STK",Sprachindex!A:Z,Info!$O$6,FALSE)</f>
        <v>STK</v>
      </c>
      <c r="C73" s="95"/>
      <c r="D73" s="95">
        <f>IF(J73=Formeln!A278,345040,IF(J73=Formeln!A279,345041,IF(J73=Formeln!A280,345042,0)))</f>
        <v>0</v>
      </c>
      <c r="E73" s="250" t="str">
        <f>VLOOKUP("WDVS-Rohrschellendübel Ø 10",Sprachindex!A:Z,Info!$O$6,FALSE)</f>
        <v>WDVS-Rohrschellendübel Ø 10</v>
      </c>
      <c r="F73" s="251"/>
      <c r="G73" s="251"/>
      <c r="H73" s="251"/>
      <c r="I73" s="101" t="str">
        <f>VLOOKUP("Länge wählen:",Sprachindex!A:Z,Info!$O$6,FALSE)</f>
        <v>Länge wählen:</v>
      </c>
      <c r="J73" s="301"/>
      <c r="K73" s="309"/>
      <c r="L73" s="96" t="str">
        <f t="shared" si="1"/>
        <v xml:space="preserve"> </v>
      </c>
      <c r="M73" s="130"/>
      <c r="N73" s="87"/>
      <c r="O73" s="1"/>
      <c r="P73" s="191" t="e">
        <f>ROUNDUP($A73/R73,0)*R73 &amp; "  " &amp; Formeln!$A$111</f>
        <v>#VALUE!</v>
      </c>
      <c r="Q73" s="191" t="str">
        <f>ROUNDUP($A73/S73,0)*S73 &amp; "  " &amp; Formeln!$A$111</f>
        <v>0  STK</v>
      </c>
      <c r="R73" s="191" t="str">
        <f>IF(J73=Formeln!$A$275,"",25)</f>
        <v/>
      </c>
      <c r="S73" s="191">
        <v>1</v>
      </c>
    </row>
    <row r="74" spans="1:89" ht="32.1" customHeight="1">
      <c r="A74" s="131"/>
      <c r="B74" s="96" t="str">
        <f>VLOOKUP("STK",Sprachindex!A:Z,Info!$O$6,FALSE)</f>
        <v>STK</v>
      </c>
      <c r="C74" s="95"/>
      <c r="D74" s="95">
        <v>345015</v>
      </c>
      <c r="E74" s="250" t="str">
        <f>VLOOKUP("M10 Gewindedorn",Sprachindex!A:Z,Info!$O$6,FALSE)</f>
        <v>M10 Gewindedorn</v>
      </c>
      <c r="F74" s="251"/>
      <c r="G74" s="251"/>
      <c r="H74" s="251"/>
      <c r="I74" s="251"/>
      <c r="J74" s="307" t="str">
        <f>VLOOKUP("195 mm lang",Sprachindex!A:Z,Info!$O$6,FALSE)</f>
        <v>195 mm lang</v>
      </c>
      <c r="K74" s="308"/>
      <c r="L74" s="96" t="str">
        <f t="shared" si="1"/>
        <v xml:space="preserve"> </v>
      </c>
      <c r="M74" s="130"/>
      <c r="N74" s="87"/>
      <c r="O74" s="1"/>
      <c r="P74" s="191" t="str">
        <f>ROUNDUP($A74/R74,0)*R74 &amp; "  " &amp; Formeln!$A$111</f>
        <v>0  STK</v>
      </c>
      <c r="Q74" s="191" t="str">
        <f>ROUNDUP($A74/S74,0)*S74 &amp; "  " &amp; Formeln!$A$111</f>
        <v>0  STK</v>
      </c>
      <c r="R74" s="191">
        <v>100</v>
      </c>
      <c r="S74" s="191">
        <v>1</v>
      </c>
    </row>
    <row r="75" spans="1:89" ht="32.1" customHeight="1">
      <c r="A75" s="131"/>
      <c r="B75" s="96" t="str">
        <f>VLOOKUP("STK",Sprachindex!A:Z,Info!$O$6,FALSE)</f>
        <v>STK</v>
      </c>
      <c r="C75" s="95"/>
      <c r="D75" s="95">
        <f>IF(J75=Formeln!A157,420305,IF(J75=Formeln!A158,420306,0))</f>
        <v>0</v>
      </c>
      <c r="E75" s="250" t="str">
        <f>VLOOKUP("Rohrschellenhalter, f.WDVS ",Sprachindex!A:Z,Info!$O$6,FALSE)</f>
        <v xml:space="preserve">Rohrschellenhalter, f.WDVS </v>
      </c>
      <c r="F75" s="251"/>
      <c r="G75" s="251"/>
      <c r="H75" s="251"/>
      <c r="I75" s="101" t="str">
        <f>VLOOKUP("Länge wählen:",Sprachindex!A:Z,Info!$O$6,FALSE)</f>
        <v>Länge wählen:</v>
      </c>
      <c r="J75" s="301"/>
      <c r="K75" s="309"/>
      <c r="L75" s="96" t="str">
        <f t="shared" si="1"/>
        <v xml:space="preserve"> </v>
      </c>
      <c r="M75" s="130"/>
      <c r="N75" s="87"/>
      <c r="O75" s="1"/>
      <c r="P75" s="191" t="e">
        <f>ROUNDUP($A75/R75,0)*R75 &amp; "  " &amp; Formeln!$A$111</f>
        <v>#VALUE!</v>
      </c>
      <c r="Q75" s="191" t="str">
        <f>ROUNDUP($A75/S75,0)*S75 &amp; "  " &amp; Formeln!$A$111</f>
        <v>0  STK</v>
      </c>
      <c r="R75" s="191" t="str">
        <f>IF(J75=Formeln!$A$156,"",4)</f>
        <v/>
      </c>
      <c r="S75" s="191">
        <v>1</v>
      </c>
      <c r="T75" s="206" t="s">
        <v>48</v>
      </c>
      <c r="U75" s="49" t="s">
        <v>79</v>
      </c>
      <c r="V75" s="49" t="s">
        <v>74</v>
      </c>
      <c r="W75" s="49" t="s">
        <v>77</v>
      </c>
      <c r="X75" s="49" t="s">
        <v>75</v>
      </c>
      <c r="Y75" s="49" t="s">
        <v>84</v>
      </c>
      <c r="Z75" s="49" t="s">
        <v>78</v>
      </c>
      <c r="AA75" s="49" t="s">
        <v>82</v>
      </c>
      <c r="AB75" s="49" t="s">
        <v>83</v>
      </c>
      <c r="AC75" s="49" t="s">
        <v>370</v>
      </c>
      <c r="AD75" s="49" t="s">
        <v>81</v>
      </c>
      <c r="AE75" s="49" t="s">
        <v>76</v>
      </c>
      <c r="AF75" s="49"/>
      <c r="AG75" s="74"/>
      <c r="AH75" s="49" t="s">
        <v>48</v>
      </c>
      <c r="AI75" s="49" t="s">
        <v>79</v>
      </c>
      <c r="AJ75" s="49" t="s">
        <v>74</v>
      </c>
      <c r="AK75" s="49" t="s">
        <v>77</v>
      </c>
      <c r="AL75" s="49" t="s">
        <v>75</v>
      </c>
      <c r="AM75" s="49" t="s">
        <v>84</v>
      </c>
      <c r="AN75" s="49" t="s">
        <v>78</v>
      </c>
      <c r="AO75" s="49" t="s">
        <v>82</v>
      </c>
      <c r="AP75" s="49" t="s">
        <v>83</v>
      </c>
      <c r="AQ75" s="49" t="s">
        <v>370</v>
      </c>
      <c r="AR75" s="49" t="s">
        <v>81</v>
      </c>
      <c r="AS75" s="49" t="s">
        <v>76</v>
      </c>
      <c r="AT75" s="49"/>
      <c r="AU75" s="74"/>
      <c r="AV75" s="49" t="s">
        <v>48</v>
      </c>
      <c r="AW75" s="49" t="s">
        <v>79</v>
      </c>
      <c r="AX75" s="49" t="s">
        <v>74</v>
      </c>
      <c r="AY75" s="49" t="s">
        <v>77</v>
      </c>
      <c r="AZ75" s="49" t="s">
        <v>75</v>
      </c>
      <c r="BA75" s="49" t="s">
        <v>84</v>
      </c>
      <c r="BB75" s="49" t="s">
        <v>78</v>
      </c>
      <c r="BC75" s="49" t="s">
        <v>82</v>
      </c>
      <c r="BD75" s="49" t="s">
        <v>83</v>
      </c>
      <c r="BE75" s="49" t="s">
        <v>370</v>
      </c>
      <c r="BF75" s="49" t="s">
        <v>81</v>
      </c>
      <c r="BG75" s="49" t="s">
        <v>76</v>
      </c>
      <c r="BH75" s="49"/>
      <c r="BI75" s="74"/>
      <c r="BJ75" s="49" t="s">
        <v>48</v>
      </c>
      <c r="BK75" s="49" t="s">
        <v>79</v>
      </c>
      <c r="BL75" s="49" t="s">
        <v>74</v>
      </c>
      <c r="BM75" s="49" t="s">
        <v>77</v>
      </c>
      <c r="BN75" s="49" t="s">
        <v>75</v>
      </c>
      <c r="BO75" s="49" t="s">
        <v>84</v>
      </c>
      <c r="BP75" s="49" t="s">
        <v>78</v>
      </c>
      <c r="BQ75" s="49" t="s">
        <v>82</v>
      </c>
      <c r="BR75" s="49" t="s">
        <v>83</v>
      </c>
      <c r="BS75" s="49" t="s">
        <v>370</v>
      </c>
      <c r="BT75" s="49" t="s">
        <v>81</v>
      </c>
      <c r="BU75" s="49" t="s">
        <v>76</v>
      </c>
      <c r="BV75" s="49"/>
      <c r="BW75" s="74"/>
      <c r="BX75" s="49" t="s">
        <v>48</v>
      </c>
      <c r="BY75" s="49" t="s">
        <v>79</v>
      </c>
      <c r="BZ75" s="49" t="s">
        <v>74</v>
      </c>
      <c r="CA75" s="49" t="s">
        <v>77</v>
      </c>
      <c r="CB75" s="49" t="s">
        <v>75</v>
      </c>
      <c r="CC75" s="49" t="s">
        <v>84</v>
      </c>
      <c r="CD75" s="49" t="s">
        <v>78</v>
      </c>
      <c r="CE75" s="49" t="s">
        <v>82</v>
      </c>
      <c r="CF75" s="49" t="s">
        <v>83</v>
      </c>
      <c r="CG75" s="49" t="s">
        <v>370</v>
      </c>
      <c r="CH75" s="49" t="s">
        <v>81</v>
      </c>
      <c r="CI75" s="49" t="s">
        <v>76</v>
      </c>
      <c r="CJ75" s="49"/>
      <c r="CK75" s="74"/>
    </row>
    <row r="76" spans="1:89" ht="32.1" customHeight="1">
      <c r="A76" s="131"/>
      <c r="B76" s="96" t="str">
        <f>VLOOKUP("STK",Sprachindex!A:Z,Info!$O$6,FALSE)</f>
        <v>STK</v>
      </c>
      <c r="C76" s="95"/>
      <c r="D76" s="95">
        <f>AF76</f>
        <v>0</v>
      </c>
      <c r="E76" s="250" t="str">
        <f>VLOOKUP("Wandmontageplatte",Sprachindex!A:Z,Info!$O$6,FALSE)</f>
        <v>Wandmontageplatte</v>
      </c>
      <c r="F76" s="251"/>
      <c r="G76" s="251"/>
      <c r="H76" s="251"/>
      <c r="I76" s="251"/>
      <c r="J76" s="307"/>
      <c r="K76" s="308"/>
      <c r="L76" s="96" t="str">
        <f t="shared" si="1"/>
        <v xml:space="preserve"> </v>
      </c>
      <c r="M76" s="130"/>
      <c r="N76" s="87"/>
      <c r="O76" s="1"/>
      <c r="P76" s="191" t="str">
        <f>ROUNDUP($A76/R76,0)*R76 &amp; "  " &amp; Formeln!$A$111</f>
        <v>0  STK</v>
      </c>
      <c r="Q76" s="191" t="str">
        <f>ROUNDUP($A76/S76,0)*S76 &amp; "  " &amp; Formeln!$A$111</f>
        <v>0  STK</v>
      </c>
      <c r="R76" s="191">
        <v>6</v>
      </c>
      <c r="S76" s="191">
        <v>1</v>
      </c>
      <c r="T76" s="64">
        <v>529301</v>
      </c>
      <c r="U76" s="64">
        <v>529304</v>
      </c>
      <c r="V76" s="64">
        <v>529302</v>
      </c>
      <c r="W76" s="64">
        <v>529305</v>
      </c>
      <c r="X76" s="64">
        <v>529303</v>
      </c>
      <c r="Y76" s="64">
        <v>529309</v>
      </c>
      <c r="Z76" s="64">
        <v>529306</v>
      </c>
      <c r="AA76" s="64">
        <v>529307</v>
      </c>
      <c r="AB76" s="64">
        <v>529308</v>
      </c>
      <c r="AC76" s="64">
        <v>529310</v>
      </c>
      <c r="AD76" s="64">
        <v>529311</v>
      </c>
      <c r="AE76" s="71">
        <v>529312</v>
      </c>
      <c r="AF76" s="74">
        <f>IF($N$21=1,V76,IF($N$21=2,X76,IF($N$21=3,W76,IF($N$21=4,Z76,IF($N$21=5,AA76,IF($N$21=6,U76,IF($N$21=7,AB76,IF($N$21=8,AC76,IF($N$21=9,T76,0)))))))))</f>
        <v>0</v>
      </c>
      <c r="AG76" s="74"/>
    </row>
    <row r="77" spans="1:89" ht="32.1" customHeight="1">
      <c r="A77" s="131"/>
      <c r="B77" s="96" t="str">
        <f>VLOOKUP("STK",Sprachindex!A:Z,Info!$O$6,FALSE)</f>
        <v>STK</v>
      </c>
      <c r="C77" s="95"/>
      <c r="D77" s="95">
        <v>529502</v>
      </c>
      <c r="E77" s="250" t="str">
        <f>VLOOKUP("Abdeckkappe für Rohrschellendorn",Sprachindex!A:Z,Info!$O$6,FALSE)</f>
        <v>Abdeckkappe für Rohrschellendorn</v>
      </c>
      <c r="F77" s="251"/>
      <c r="G77" s="251"/>
      <c r="H77" s="251"/>
      <c r="I77" s="251"/>
      <c r="J77" s="307"/>
      <c r="K77" s="308"/>
      <c r="L77" s="96" t="str">
        <f t="shared" si="1"/>
        <v xml:space="preserve"> </v>
      </c>
      <c r="M77" s="130"/>
      <c r="N77" s="87"/>
      <c r="O77" s="1"/>
      <c r="P77" s="191" t="str">
        <f>ROUNDUP($A77/R77,0)*R77 &amp; "  " &amp; Formeln!$A$111</f>
        <v>0  STK</v>
      </c>
      <c r="Q77" s="191" t="str">
        <f>ROUNDUP($A77/S77,0)*S77 &amp; "  " &amp; Formeln!$A$111</f>
        <v>0  STK</v>
      </c>
      <c r="R77" s="191">
        <v>25</v>
      </c>
      <c r="S77" s="191">
        <v>1</v>
      </c>
    </row>
    <row r="78" spans="1:89" ht="32.1" customHeight="1">
      <c r="A78" s="131"/>
      <c r="B78" s="96" t="str">
        <f>VLOOKUP("STK",Sprachindex!A:Z,Info!$O$6,FALSE)</f>
        <v>STK</v>
      </c>
      <c r="C78" s="95"/>
      <c r="D78" s="95">
        <v>150052</v>
      </c>
      <c r="E78" s="250" t="str">
        <f>VLOOKUP("Gummidichtung DM100",Sprachindex!A:Z,Info!$O$6,FALSE)</f>
        <v>Gummidichtung DM100</v>
      </c>
      <c r="F78" s="251"/>
      <c r="G78" s="251"/>
      <c r="H78" s="251"/>
      <c r="I78" s="251"/>
      <c r="J78" s="307" t="str">
        <f>Formeln!F191</f>
        <v>100 ⌀</v>
      </c>
      <c r="K78" s="308"/>
      <c r="L78" s="96" t="str">
        <f t="shared" si="1"/>
        <v xml:space="preserve"> </v>
      </c>
      <c r="M78" s="130"/>
      <c r="N78" s="87"/>
      <c r="O78" s="1"/>
      <c r="P78" s="191" t="str">
        <f>ROUNDUP($A78/R78,0)*R78 &amp; "  " &amp; Formeln!$A$111</f>
        <v>0  STK</v>
      </c>
      <c r="Q78" s="191" t="str">
        <f>ROUNDUP($A78/S78,0)*S78 &amp; "  " &amp; Formeln!$A$111</f>
        <v>0  STK</v>
      </c>
      <c r="R78" s="191">
        <v>1</v>
      </c>
      <c r="S78" s="191">
        <v>1</v>
      </c>
    </row>
    <row r="79" spans="1:89" ht="32.1" customHeight="1">
      <c r="A79" s="131"/>
      <c r="B79" s="96" t="str">
        <f>VLOOKUP("STK",Sprachindex!A:Z,Info!$O$6,FALSE)</f>
        <v>STK</v>
      </c>
      <c r="C79" s="95"/>
      <c r="D79" s="95">
        <f>AF79</f>
        <v>0</v>
      </c>
      <c r="E79" s="250" t="str">
        <f>VLOOKUP("Stutzen mit Klebeflansch DM 58 mm",Sprachindex!A:Z,Info!$O$6,FALSE)</f>
        <v>Stutzen mit Klebeflansch DM 58 mm</v>
      </c>
      <c r="F79" s="251"/>
      <c r="G79" s="251"/>
      <c r="H79" s="251"/>
      <c r="I79" s="251"/>
      <c r="J79" s="307"/>
      <c r="K79" s="308"/>
      <c r="L79" s="96" t="str">
        <f t="shared" si="1"/>
        <v xml:space="preserve"> </v>
      </c>
      <c r="M79" s="130"/>
      <c r="N79" s="87"/>
      <c r="O79" s="1"/>
      <c r="P79" s="191" t="str">
        <f>ROUNDUP($A79/R79,0)*R79 &amp; "  " &amp; Formeln!$A$111</f>
        <v>0  STK</v>
      </c>
      <c r="Q79" s="191" t="str">
        <f>ROUNDUP($A79/S79,0)*S79 &amp; "  " &amp; Formeln!$A$111</f>
        <v>0  STK</v>
      </c>
      <c r="R79" s="191">
        <v>1</v>
      </c>
      <c r="S79" s="191">
        <v>1</v>
      </c>
      <c r="T79" s="64" t="s">
        <v>456</v>
      </c>
      <c r="U79" s="64" t="s">
        <v>457</v>
      </c>
      <c r="V79" s="64" t="s">
        <v>458</v>
      </c>
      <c r="W79" s="64"/>
      <c r="X79" s="64" t="s">
        <v>459</v>
      </c>
      <c r="Y79" s="64"/>
      <c r="Z79" s="64"/>
      <c r="AA79" s="64"/>
      <c r="AB79" s="64"/>
      <c r="AC79" s="64"/>
      <c r="AD79" s="64"/>
      <c r="AE79" s="71"/>
      <c r="AF79" s="74">
        <f t="shared" ref="AF79:AF86" si="4">IF($N$21=1,V79,IF($N$21=2,X79,IF($N$21=3,W79,IF($N$21=4,Z79,IF($N$21=5,AA79,IF($N$21=6,U79,IF($N$21=7,AB79,IF($N$21=8,AC79,IF($N$21=9,T79,0)))))))))</f>
        <v>0</v>
      </c>
      <c r="AG79" s="74" t="s">
        <v>460</v>
      </c>
    </row>
    <row r="80" spans="1:89" ht="32.1" customHeight="1">
      <c r="A80" s="131"/>
      <c r="B80" s="96" t="str">
        <f>VLOOKUP("STK",Sprachindex!A:Z,Info!$O$6,FALSE)</f>
        <v>STK</v>
      </c>
      <c r="C80" s="95"/>
      <c r="D80" s="95">
        <f>IF($N$25=2,AT80,IF($N$25=3,BH80,IF($N$25=4,BV80,IF($N$25=5,CJ80,IF($N$25=1,AF80,0)))))</f>
        <v>0</v>
      </c>
      <c r="E80" s="250" t="str">
        <f>VLOOKUP("Rohrbogen 72°",Sprachindex!A:Z,Info!$O$6,FALSE)</f>
        <v>Rohrbogen 72°</v>
      </c>
      <c r="F80" s="251"/>
      <c r="G80" s="251"/>
      <c r="H80" s="251"/>
      <c r="I80" s="251"/>
      <c r="J80" s="307" t="str">
        <f>Formeln!A233</f>
        <v/>
      </c>
      <c r="K80" s="308"/>
      <c r="L80" s="96" t="str">
        <f t="shared" si="1"/>
        <v xml:space="preserve"> </v>
      </c>
      <c r="M80" s="130"/>
      <c r="N80" s="87"/>
      <c r="O80" s="1"/>
      <c r="P80" s="191" t="e">
        <f>ROUNDUP($A80/R80,0)*R80 &amp; "  " &amp; Formeln!$A$111</f>
        <v>#VALUE!</v>
      </c>
      <c r="Q80" s="191" t="str">
        <f>ROUNDUP($A80/S80,0)*S80 &amp; "  " &amp; Formeln!$A$111</f>
        <v>0  STK</v>
      </c>
      <c r="R80" s="191" t="str">
        <f>IF($N$25=1,1,IF($N$25=2,8,IF($N$25=3,8,IF($N$25=4,4,IF($N$25=5,1,"")))))</f>
        <v/>
      </c>
      <c r="S80" s="191">
        <v>1</v>
      </c>
      <c r="T80" s="64" t="s">
        <v>461</v>
      </c>
      <c r="U80" s="64" t="s">
        <v>462</v>
      </c>
      <c r="V80" s="64" t="s">
        <v>463</v>
      </c>
      <c r="W80" s="64"/>
      <c r="X80" s="64" t="s">
        <v>464</v>
      </c>
      <c r="Y80" s="64"/>
      <c r="Z80" s="64"/>
      <c r="AA80" s="64"/>
      <c r="AB80" s="64"/>
      <c r="AC80" s="64"/>
      <c r="AD80" s="64"/>
      <c r="AE80" s="71"/>
      <c r="AF80" s="74">
        <f t="shared" si="4"/>
        <v>0</v>
      </c>
      <c r="AG80" s="74">
        <v>60</v>
      </c>
      <c r="AH80" s="64" t="s">
        <v>465</v>
      </c>
      <c r="AI80" s="64" t="s">
        <v>466</v>
      </c>
      <c r="AJ80" s="64" t="s">
        <v>467</v>
      </c>
      <c r="AK80" s="64" t="s">
        <v>468</v>
      </c>
      <c r="AL80" s="64" t="s">
        <v>469</v>
      </c>
      <c r="AM80" s="64" t="s">
        <v>470</v>
      </c>
      <c r="AN80" s="64" t="s">
        <v>471</v>
      </c>
      <c r="AO80" s="64" t="s">
        <v>472</v>
      </c>
      <c r="AP80" s="64" t="s">
        <v>473</v>
      </c>
      <c r="AQ80" s="64" t="s">
        <v>474</v>
      </c>
      <c r="AR80" s="64" t="s">
        <v>475</v>
      </c>
      <c r="AS80" s="71">
        <v>526088</v>
      </c>
      <c r="AT80" s="74">
        <f t="shared" ref="AT80:AT86" si="5">IF($N$21=1,AJ80,IF($N$21=2,AL80,IF($N$21=3,AK80,IF($N$21=4,AN80,IF($N$21=5,AO80,IF($N$21=6,AI80,IF($N$21=7,AP80,IF($N$21=8,AQ80,IF($N$21=9,AH80,0)))))))))</f>
        <v>0</v>
      </c>
      <c r="AU80" s="74">
        <v>80</v>
      </c>
      <c r="AV80" s="64" t="s">
        <v>476</v>
      </c>
      <c r="AW80" s="64" t="s">
        <v>477</v>
      </c>
      <c r="AX80" s="64" t="s">
        <v>478</v>
      </c>
      <c r="AY80" s="64" t="s">
        <v>479</v>
      </c>
      <c r="AZ80" s="64" t="s">
        <v>480</v>
      </c>
      <c r="BA80" s="64" t="s">
        <v>481</v>
      </c>
      <c r="BB80" s="64" t="s">
        <v>482</v>
      </c>
      <c r="BC80" s="64" t="s">
        <v>483</v>
      </c>
      <c r="BD80" s="64" t="s">
        <v>484</v>
      </c>
      <c r="BE80" s="64" t="s">
        <v>485</v>
      </c>
      <c r="BF80" s="64" t="s">
        <v>486</v>
      </c>
      <c r="BG80" s="71">
        <v>526089</v>
      </c>
      <c r="BH80" s="74">
        <f t="shared" ref="BH80:BH86" si="6">IF($N$21=1,AX80,IF($N$21=2,AZ80,IF($N$21=3,AY80,IF($N$21=4,BB80,IF($N$21=5,BC80,IF($N$21=6,AW80,IF($N$21=7,BD80,IF($N$21=8,BE80,IF($N$21=9,AV80,0)))))))))</f>
        <v>0</v>
      </c>
      <c r="BI80" s="74">
        <v>100</v>
      </c>
      <c r="BJ80" s="64" t="s">
        <v>487</v>
      </c>
      <c r="BK80" s="64" t="s">
        <v>488</v>
      </c>
      <c r="BL80" s="64" t="s">
        <v>489</v>
      </c>
      <c r="BM80" s="64" t="s">
        <v>490</v>
      </c>
      <c r="BN80" s="64" t="s">
        <v>491</v>
      </c>
      <c r="BO80" s="64" t="s">
        <v>492</v>
      </c>
      <c r="BP80" s="64" t="s">
        <v>493</v>
      </c>
      <c r="BQ80" s="64" t="s">
        <v>494</v>
      </c>
      <c r="BR80" s="64" t="s">
        <v>495</v>
      </c>
      <c r="BS80" s="64" t="s">
        <v>496</v>
      </c>
      <c r="BT80" s="64" t="s">
        <v>497</v>
      </c>
      <c r="BU80" s="71">
        <v>526090</v>
      </c>
      <c r="BV80" s="74">
        <f>IF($N$21=1,BL80,IF($N$21=2,BN80,IF($N$21=3,BM80,IF($N$21=4,BP80,IF($N$21=5,BQ80,IF($N$21=6,BK80,IF($N$21=7,BR80,IF($N$21=8,BS80,IF($N$21=9,BJ80,0)))))))))</f>
        <v>0</v>
      </c>
      <c r="BW80" s="74">
        <v>120</v>
      </c>
      <c r="BX80" s="64" t="s">
        <v>498</v>
      </c>
      <c r="BY80" s="64" t="s">
        <v>499</v>
      </c>
      <c r="BZ80" s="64" t="s">
        <v>500</v>
      </c>
      <c r="CA80" s="71"/>
      <c r="CB80" s="64" t="s">
        <v>501</v>
      </c>
      <c r="CC80" s="71"/>
      <c r="CD80" s="71"/>
      <c r="CE80" s="71"/>
      <c r="CF80" s="71"/>
      <c r="CG80" s="71"/>
      <c r="CH80" s="71"/>
      <c r="CI80" s="71"/>
      <c r="CJ80" s="74">
        <f>IF($N$21=1,BZ80,IF($N$21=2,CB80,IF($N$21=3,CA80,IF($N$21=4,CD80,IF($N$21=5,CE80,IF($N$21=6,BY80,IF($N$21=7,CF80,IF($N$21=8,CG80,IF($N$21=9,BX80,0)))))))))</f>
        <v>0</v>
      </c>
      <c r="CK80" s="74">
        <v>150</v>
      </c>
    </row>
    <row r="81" spans="1:131" ht="32.1" customHeight="1">
      <c r="A81" s="131"/>
      <c r="B81" s="96" t="str">
        <f>VLOOKUP("STK",Sprachindex!A:Z,Info!$O$6,FALSE)</f>
        <v>STK</v>
      </c>
      <c r="C81" s="95"/>
      <c r="D81" s="95">
        <f>IF($N$25=2,AT81,IF($N$25=3,BH81,IF($N$25=4,BV81,IF($N$25=5,CJ81,IF($N$25=1,AF81,0)))))</f>
        <v>0</v>
      </c>
      <c r="E81" s="250" t="str">
        <f>VLOOKUP("Rohrbogen 85°",Sprachindex!A:Z,Info!$O$6,FALSE)</f>
        <v>Rohrbogen 85°</v>
      </c>
      <c r="F81" s="251"/>
      <c r="G81" s="251"/>
      <c r="H81" s="251"/>
      <c r="I81" s="251"/>
      <c r="J81" s="307" t="str">
        <f>Formeln!A273</f>
        <v/>
      </c>
      <c r="K81" s="308"/>
      <c r="L81" s="96" t="str">
        <f t="shared" si="1"/>
        <v xml:space="preserve"> </v>
      </c>
      <c r="M81" s="130"/>
      <c r="N81" s="87"/>
      <c r="O81" s="1"/>
      <c r="P81" s="191" t="e">
        <f>ROUNDUP($A81/R81,0)*R81 &amp; "  " &amp; Formeln!$A$111</f>
        <v>#VALUE!</v>
      </c>
      <c r="Q81" s="191" t="str">
        <f>ROUNDUP($A81/S81,0)*S81 &amp; "  " &amp; Formeln!$A$111</f>
        <v>0  STK</v>
      </c>
      <c r="R81" s="191" t="str">
        <f>IF($N$25=1,1,IF($N$25=2,8,IF($N$25=3,8,IF($N$25=4,3,IF($N$25=5,"","")))))</f>
        <v/>
      </c>
      <c r="S81" s="191">
        <v>1</v>
      </c>
      <c r="T81" s="64" t="s">
        <v>502</v>
      </c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71"/>
      <c r="AF81" s="74">
        <f t="shared" si="4"/>
        <v>0</v>
      </c>
      <c r="AG81" s="74">
        <v>60</v>
      </c>
      <c r="AH81" s="64" t="s">
        <v>503</v>
      </c>
      <c r="AI81" s="64" t="s">
        <v>504</v>
      </c>
      <c r="AJ81" s="64" t="s">
        <v>505</v>
      </c>
      <c r="AK81" s="71"/>
      <c r="AL81" s="64" t="s">
        <v>506</v>
      </c>
      <c r="AM81" s="64" t="s">
        <v>507</v>
      </c>
      <c r="AN81" s="71"/>
      <c r="AO81" s="71"/>
      <c r="AP81" s="71"/>
      <c r="AQ81" s="64" t="s">
        <v>508</v>
      </c>
      <c r="AR81" s="71"/>
      <c r="AS81" s="71">
        <v>526319</v>
      </c>
      <c r="AT81" s="74">
        <f t="shared" si="5"/>
        <v>0</v>
      </c>
      <c r="AU81" s="74">
        <v>80</v>
      </c>
      <c r="AV81" s="64" t="s">
        <v>509</v>
      </c>
      <c r="AW81" s="64" t="s">
        <v>510</v>
      </c>
      <c r="AX81" s="64" t="s">
        <v>511</v>
      </c>
      <c r="AY81" s="71"/>
      <c r="AZ81" s="64" t="s">
        <v>512</v>
      </c>
      <c r="BA81" s="64" t="s">
        <v>513</v>
      </c>
      <c r="BB81" s="71"/>
      <c r="BC81" s="71"/>
      <c r="BD81" s="71"/>
      <c r="BE81" s="64" t="s">
        <v>514</v>
      </c>
      <c r="BF81" s="71"/>
      <c r="BG81" s="71">
        <v>526309</v>
      </c>
      <c r="BH81" s="74">
        <f t="shared" si="6"/>
        <v>0</v>
      </c>
      <c r="BI81" s="74">
        <v>100</v>
      </c>
      <c r="BJ81" s="64" t="s">
        <v>515</v>
      </c>
      <c r="BK81" s="64" t="s">
        <v>516</v>
      </c>
      <c r="BL81" s="64" t="s">
        <v>517</v>
      </c>
      <c r="BM81" s="71"/>
      <c r="BN81" s="64" t="s">
        <v>518</v>
      </c>
      <c r="BO81" s="71"/>
      <c r="BP81" s="71"/>
      <c r="BQ81" s="71"/>
      <c r="BR81" s="71"/>
      <c r="BS81" s="71"/>
      <c r="BT81" s="71"/>
      <c r="BU81" s="71"/>
      <c r="BV81" s="74">
        <f>IF($N$21=1,BL81,IF($N$21=2,BN81,IF($N$21=3,BM81,IF($N$21=4,BP81,IF($N$21=5,BQ81,IF($N$21=6,BK81,IF($N$21=7,BR81,IF($N$21=8,BS81,IF($N$21=9,BJ81,0)))))))))</f>
        <v>0</v>
      </c>
      <c r="BW81" s="74">
        <v>120</v>
      </c>
    </row>
    <row r="82" spans="1:131" ht="32.1" customHeight="1">
      <c r="A82" s="131"/>
      <c r="B82" s="96" t="str">
        <f>VLOOKUP("STK",Sprachindex!A:Z,Info!$O$6,FALSE)</f>
        <v>STK</v>
      </c>
      <c r="C82" s="95"/>
      <c r="D82" s="95">
        <f>IF($N$25=2,AT82,IF($N$25=3,BH82,IF($N$25=4,BV82,IF($N$25=5,CJ82,IF($N$25=1,AF82,0)))))</f>
        <v>0</v>
      </c>
      <c r="E82" s="250" t="str">
        <f>VLOOKUP("Rohrbogen 40°",Sprachindex!A:Z,Info!$O$6,FALSE)</f>
        <v>Rohrbogen 40°</v>
      </c>
      <c r="F82" s="251"/>
      <c r="G82" s="251"/>
      <c r="H82" s="251"/>
      <c r="I82" s="251"/>
      <c r="J82" s="307" t="str">
        <f>Formeln!A273</f>
        <v/>
      </c>
      <c r="K82" s="308"/>
      <c r="L82" s="96" t="str">
        <f t="shared" si="1"/>
        <v xml:space="preserve"> </v>
      </c>
      <c r="M82" s="130"/>
      <c r="N82" s="87"/>
      <c r="O82" s="1"/>
      <c r="P82" s="191" t="e">
        <f>ROUNDUP($A82/R82,0)*R82 &amp; "  " &amp; Formeln!$A$111</f>
        <v>#VALUE!</v>
      </c>
      <c r="Q82" s="191" t="str">
        <f>ROUNDUP($A82/S82,0)*S82 &amp; "  " &amp; Formeln!$A$111</f>
        <v>0  STK</v>
      </c>
      <c r="R82" s="191" t="str">
        <f>IF($N$25=1,1,IF($N$25=2,12,IF($N$25=3,6,IF($N$25=4,3,IF($N$25=5,"","")))))</f>
        <v/>
      </c>
      <c r="S82" s="191">
        <v>1</v>
      </c>
      <c r="T82" s="64" t="s">
        <v>519</v>
      </c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71"/>
      <c r="AF82" s="74">
        <f t="shared" si="4"/>
        <v>0</v>
      </c>
      <c r="AG82" s="74">
        <v>60</v>
      </c>
      <c r="AH82" s="64" t="s">
        <v>520</v>
      </c>
      <c r="AI82" s="64" t="s">
        <v>521</v>
      </c>
      <c r="AJ82" s="64" t="s">
        <v>522</v>
      </c>
      <c r="AK82" s="64" t="s">
        <v>523</v>
      </c>
      <c r="AL82" s="64" t="s">
        <v>524</v>
      </c>
      <c r="AM82" s="64" t="s">
        <v>525</v>
      </c>
      <c r="AN82" s="64" t="s">
        <v>526</v>
      </c>
      <c r="AO82" s="64" t="s">
        <v>527</v>
      </c>
      <c r="AP82" s="64" t="s">
        <v>528</v>
      </c>
      <c r="AQ82" s="64" t="s">
        <v>529</v>
      </c>
      <c r="AR82" s="64" t="s">
        <v>530</v>
      </c>
      <c r="AS82" s="71">
        <v>526091</v>
      </c>
      <c r="AT82" s="74">
        <f t="shared" si="5"/>
        <v>0</v>
      </c>
      <c r="AU82" s="74">
        <v>80</v>
      </c>
      <c r="AV82" s="64" t="s">
        <v>531</v>
      </c>
      <c r="AW82" s="64" t="s">
        <v>532</v>
      </c>
      <c r="AX82" s="64" t="s">
        <v>533</v>
      </c>
      <c r="AY82" s="64" t="s">
        <v>534</v>
      </c>
      <c r="AZ82" s="64" t="s">
        <v>535</v>
      </c>
      <c r="BA82" s="64" t="s">
        <v>536</v>
      </c>
      <c r="BB82" s="64" t="s">
        <v>537</v>
      </c>
      <c r="BC82" s="64" t="s">
        <v>538</v>
      </c>
      <c r="BD82" s="64" t="s">
        <v>539</v>
      </c>
      <c r="BE82" s="64" t="s">
        <v>540</v>
      </c>
      <c r="BF82" s="64" t="s">
        <v>541</v>
      </c>
      <c r="BG82" s="71">
        <v>526092</v>
      </c>
      <c r="BH82" s="74">
        <f t="shared" si="6"/>
        <v>0</v>
      </c>
      <c r="BI82" s="74">
        <v>100</v>
      </c>
      <c r="BJ82" s="64" t="s">
        <v>542</v>
      </c>
      <c r="BK82" s="64" t="s">
        <v>543</v>
      </c>
      <c r="BL82" s="64" t="s">
        <v>544</v>
      </c>
      <c r="BM82" s="64" t="s">
        <v>545</v>
      </c>
      <c r="BN82" s="64" t="s">
        <v>546</v>
      </c>
      <c r="BO82" s="64" t="s">
        <v>547</v>
      </c>
      <c r="BP82" s="64" t="s">
        <v>548</v>
      </c>
      <c r="BQ82" s="64" t="s">
        <v>549</v>
      </c>
      <c r="BR82" s="64" t="s">
        <v>550</v>
      </c>
      <c r="BS82" s="64" t="s">
        <v>551</v>
      </c>
      <c r="BT82" s="64" t="s">
        <v>552</v>
      </c>
      <c r="BU82" s="71">
        <v>526093</v>
      </c>
      <c r="BV82" s="74">
        <f>IF($N$21=1,BL82,IF($N$21=2,BN82,IF($N$21=3,BM82,IF($N$21=4,BP82,IF($N$21=5,BQ82,IF($N$21=6,BK82,IF($N$21=7,BR82,IF($N$21=8,BS82,IF($N$21=9,BJ82,0)))))))))</f>
        <v>0</v>
      </c>
      <c r="BW82" s="74">
        <v>120</v>
      </c>
    </row>
    <row r="83" spans="1:131" ht="32.1" customHeight="1">
      <c r="A83" s="131"/>
      <c r="B83" s="96" t="str">
        <f>VLOOKUP("STK",Sprachindex!A:Z,Info!$O$6,FALSE)</f>
        <v>STK</v>
      </c>
      <c r="C83" s="95"/>
      <c r="D83" s="95">
        <f>IF($N$25=2,AF83,IF($N$25=3,AT83,IF($N$25=4,BH83,IF($N$25=5,BV83,0))))</f>
        <v>0</v>
      </c>
      <c r="E83" s="250" t="str">
        <f>VLOOKUP("Sockelknie 60 mm Ausladung",Sprachindex!A:Z,Info!$O$6,FALSE)</f>
        <v>Sockelknie 60 mm Ausladung</v>
      </c>
      <c r="F83" s="251"/>
      <c r="G83" s="251"/>
      <c r="H83" s="251"/>
      <c r="I83" s="251"/>
      <c r="J83" s="307" t="str">
        <f>Formeln!A227</f>
        <v/>
      </c>
      <c r="K83" s="308"/>
      <c r="L83" s="96" t="str">
        <f t="shared" si="1"/>
        <v xml:space="preserve"> </v>
      </c>
      <c r="M83" s="130"/>
      <c r="N83" s="87"/>
      <c r="O83" s="1"/>
      <c r="P83" s="191" t="e">
        <f>ROUNDUP($A83/R83,0)*R83 &amp; "  " &amp; Formeln!$A$111</f>
        <v>#VALUE!</v>
      </c>
      <c r="Q83" s="191" t="str">
        <f>ROUNDUP($A83/S83,0)*S83 &amp; "  " &amp; Formeln!$A$111</f>
        <v>0  STK</v>
      </c>
      <c r="R83" s="191" t="str">
        <f>IF($N$25=1,"",IF($N$25=2,2,IF($N$25=3,8,IF($N$25=4,4,IF($N$25=5,1,"")))))</f>
        <v/>
      </c>
      <c r="S83" s="191">
        <v>1</v>
      </c>
      <c r="T83" s="64" t="s">
        <v>553</v>
      </c>
      <c r="U83" s="64" t="s">
        <v>554</v>
      </c>
      <c r="V83" s="64" t="s">
        <v>555</v>
      </c>
      <c r="W83" s="64" t="s">
        <v>556</v>
      </c>
      <c r="X83" s="64" t="s">
        <v>557</v>
      </c>
      <c r="Y83" s="64" t="s">
        <v>558</v>
      </c>
      <c r="Z83" s="64" t="s">
        <v>559</v>
      </c>
      <c r="AA83" s="64" t="s">
        <v>560</v>
      </c>
      <c r="AB83" s="64" t="s">
        <v>561</v>
      </c>
      <c r="AC83" s="64" t="s">
        <v>562</v>
      </c>
      <c r="AD83" s="64" t="s">
        <v>563</v>
      </c>
      <c r="AE83" s="71">
        <v>527045</v>
      </c>
      <c r="AF83" s="74">
        <f t="shared" si="4"/>
        <v>0</v>
      </c>
      <c r="AG83" s="74">
        <v>80</v>
      </c>
      <c r="AH83" s="64" t="s">
        <v>564</v>
      </c>
      <c r="AI83" s="64" t="s">
        <v>565</v>
      </c>
      <c r="AJ83" s="64" t="s">
        <v>566</v>
      </c>
      <c r="AK83" s="64" t="s">
        <v>567</v>
      </c>
      <c r="AL83" s="64" t="s">
        <v>568</v>
      </c>
      <c r="AM83" s="64" t="s">
        <v>569</v>
      </c>
      <c r="AN83" s="64" t="s">
        <v>570</v>
      </c>
      <c r="AO83" s="64" t="s">
        <v>571</v>
      </c>
      <c r="AP83" s="64" t="s">
        <v>572</v>
      </c>
      <c r="AQ83" s="64" t="s">
        <v>573</v>
      </c>
      <c r="AR83" s="64" t="s">
        <v>574</v>
      </c>
      <c r="AS83" s="71">
        <v>527046</v>
      </c>
      <c r="AT83" s="74">
        <f t="shared" si="5"/>
        <v>0</v>
      </c>
      <c r="AU83" s="74">
        <v>100</v>
      </c>
      <c r="AV83" s="64" t="s">
        <v>575</v>
      </c>
      <c r="AW83" s="64" t="s">
        <v>576</v>
      </c>
      <c r="AX83" s="64" t="s">
        <v>577</v>
      </c>
      <c r="AY83" s="64" t="s">
        <v>578</v>
      </c>
      <c r="AZ83" s="64" t="s">
        <v>579</v>
      </c>
      <c r="BA83" s="64" t="s">
        <v>580</v>
      </c>
      <c r="BB83" s="64" t="s">
        <v>581</v>
      </c>
      <c r="BC83" s="64" t="s">
        <v>582</v>
      </c>
      <c r="BD83" s="64" t="s">
        <v>583</v>
      </c>
      <c r="BE83" s="64" t="s">
        <v>584</v>
      </c>
      <c r="BF83" s="64" t="s">
        <v>585</v>
      </c>
      <c r="BG83" s="71">
        <v>527047</v>
      </c>
      <c r="BH83" s="74">
        <f t="shared" si="6"/>
        <v>0</v>
      </c>
      <c r="BI83" s="74">
        <v>120</v>
      </c>
      <c r="BJ83" s="64" t="s">
        <v>586</v>
      </c>
      <c r="BK83" s="64" t="s">
        <v>587</v>
      </c>
      <c r="BL83" s="64" t="s">
        <v>588</v>
      </c>
      <c r="BM83" s="71"/>
      <c r="BN83" s="64" t="s">
        <v>589</v>
      </c>
      <c r="BO83" s="71"/>
      <c r="BP83" s="71"/>
      <c r="BQ83" s="71"/>
      <c r="BR83" s="71"/>
      <c r="BS83" s="71"/>
      <c r="BT83" s="71"/>
      <c r="BU83" s="71"/>
      <c r="BV83" s="74">
        <f>IF($N$21=1,BL83,IF($N$21=2,BN83,IF($N$21=3,BM83,IF($N$21=4,BP83,IF($N$21=5,BQ83,IF($N$21=6,BK83,IF($N$21=7,BR83,IF($N$21=8,BS83,IF($N$21=9,BJ83,0)))))))))</f>
        <v>0</v>
      </c>
      <c r="BW83" s="74">
        <v>150</v>
      </c>
    </row>
    <row r="84" spans="1:131" ht="32.1" customHeight="1">
      <c r="A84" s="131"/>
      <c r="B84" s="96" t="str">
        <f>VLOOKUP("STK",Sprachindex!A:Z,Info!$O$6,FALSE)</f>
        <v>STK</v>
      </c>
      <c r="C84" s="95"/>
      <c r="D84" s="95">
        <f>IF($N$25=3,AF84,0)</f>
        <v>0</v>
      </c>
      <c r="E84" s="250" t="str">
        <f>VLOOKUP("Sockelknie 30 mm Ausladung",Sprachindex!A:Z,Info!$O$6,FALSE)</f>
        <v>Sockelknie 30 mm Ausladung</v>
      </c>
      <c r="F84" s="251"/>
      <c r="G84" s="251"/>
      <c r="H84" s="251"/>
      <c r="I84" s="251"/>
      <c r="J84" s="307" t="str">
        <f>IF($N$25="","",IF($N$25=1,Formeln!$A$174,IF($N$25=2,Formeln!$A$174,IF($N$25=3,Formeln!$F$191,IF($N$25=4,Formeln!$A$174,IF($N$25=5,Formeln!$A$174,""))))))</f>
        <v/>
      </c>
      <c r="K84" s="308"/>
      <c r="L84" s="96" t="str">
        <f t="shared" si="1"/>
        <v xml:space="preserve"> </v>
      </c>
      <c r="M84" s="130"/>
      <c r="N84" s="87"/>
      <c r="O84" s="1"/>
      <c r="P84" s="191" t="e">
        <f>ROUNDUP($A84/R84,0)*R84 &amp; "  " &amp; Formeln!$A$111</f>
        <v>#VALUE!</v>
      </c>
      <c r="Q84" s="191" t="str">
        <f>ROUNDUP($A84/S84,0)*S84 &amp; "  " &amp; Formeln!$A$111</f>
        <v>0  STK</v>
      </c>
      <c r="R84" s="191" t="str">
        <f>IF($N$25=3,8,"")</f>
        <v/>
      </c>
      <c r="S84" s="191">
        <v>1</v>
      </c>
      <c r="T84" s="64" t="s">
        <v>590</v>
      </c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71"/>
      <c r="AF84" s="74">
        <f t="shared" si="4"/>
        <v>0</v>
      </c>
      <c r="AG84" s="74">
        <v>100</v>
      </c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71"/>
      <c r="AT84" s="74">
        <f t="shared" si="5"/>
        <v>0</v>
      </c>
      <c r="AU84" s="7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71"/>
      <c r="BH84" s="74">
        <f t="shared" si="6"/>
        <v>0</v>
      </c>
      <c r="BI84" s="74"/>
      <c r="BJ84" s="64"/>
      <c r="BK84" s="64"/>
      <c r="BL84" s="64"/>
      <c r="BM84" s="167"/>
      <c r="BN84" s="64"/>
      <c r="BO84" s="167"/>
      <c r="BP84" s="167"/>
      <c r="BQ84" s="167"/>
      <c r="BR84" s="167"/>
      <c r="BS84" s="167"/>
      <c r="BT84" s="167"/>
      <c r="BU84" s="167"/>
      <c r="BV84" s="168"/>
      <c r="BW84" s="168"/>
    </row>
    <row r="85" spans="1:131" ht="32.1" customHeight="1">
      <c r="A85" s="131"/>
      <c r="B85" s="96" t="str">
        <f>VLOOKUP("STK",Sprachindex!A:Z,Info!$O$6,FALSE)</f>
        <v>STK</v>
      </c>
      <c r="C85" s="95"/>
      <c r="D85" s="95">
        <f>IF($N$25=2,AF85,IF($N$25=3,AT85,IF($N$25=4,BH85,IF($N$25=5,BV85,0))))</f>
        <v>0</v>
      </c>
      <c r="E85" s="250" t="str">
        <f>VLOOKUP("Wassersammler",Sprachindex!A:Z,Info!$O$6,FALSE)</f>
        <v>Wassersammler</v>
      </c>
      <c r="F85" s="251"/>
      <c r="G85" s="251"/>
      <c r="H85" s="251"/>
      <c r="I85" s="251"/>
      <c r="J85" s="307" t="str">
        <f>Formeln!A236</f>
        <v/>
      </c>
      <c r="K85" s="308"/>
      <c r="L85" s="96" t="str">
        <f t="shared" si="1"/>
        <v xml:space="preserve"> </v>
      </c>
      <c r="M85" s="130"/>
      <c r="N85" s="87"/>
      <c r="O85" s="1"/>
      <c r="P85" s="191" t="e">
        <f>ROUNDUP($A85/R85,0)*R85 &amp; "  " &amp; Formeln!$A$111</f>
        <v>#VALUE!</v>
      </c>
      <c r="Q85" s="191" t="str">
        <f>ROUNDUP($A85/S85,0)*S85 &amp; "  " &amp; Formeln!$A$111</f>
        <v>0  STK</v>
      </c>
      <c r="R85" s="191" t="str">
        <f>IF($N$25=1,"",IF($N$25=2,1,IF($N$25=3,1,IF($N$25=4,1,IF($N$25=5,"","")))))</f>
        <v/>
      </c>
      <c r="S85" s="191">
        <v>1</v>
      </c>
      <c r="T85" s="64" t="s">
        <v>591</v>
      </c>
      <c r="U85" s="64" t="s">
        <v>592</v>
      </c>
      <c r="V85" s="64" t="s">
        <v>593</v>
      </c>
      <c r="W85" s="64" t="s">
        <v>594</v>
      </c>
      <c r="X85" s="64" t="s">
        <v>595</v>
      </c>
      <c r="Y85" s="64" t="s">
        <v>596</v>
      </c>
      <c r="Z85" s="64" t="s">
        <v>597</v>
      </c>
      <c r="AA85" s="64" t="s">
        <v>598</v>
      </c>
      <c r="AB85" s="64" t="s">
        <v>599</v>
      </c>
      <c r="AC85" s="64" t="s">
        <v>600</v>
      </c>
      <c r="AD85" s="64" t="s">
        <v>601</v>
      </c>
      <c r="AE85" s="71">
        <v>539232</v>
      </c>
      <c r="AF85" s="74">
        <f t="shared" si="4"/>
        <v>0</v>
      </c>
      <c r="AG85" s="74">
        <v>80</v>
      </c>
      <c r="AH85" s="64" t="s">
        <v>602</v>
      </c>
      <c r="AI85" s="64" t="s">
        <v>603</v>
      </c>
      <c r="AJ85" s="64" t="s">
        <v>604</v>
      </c>
      <c r="AK85" s="64" t="s">
        <v>605</v>
      </c>
      <c r="AL85" s="64" t="s">
        <v>606</v>
      </c>
      <c r="AM85" s="64" t="s">
        <v>607</v>
      </c>
      <c r="AN85" s="64" t="s">
        <v>608</v>
      </c>
      <c r="AO85" s="64" t="s">
        <v>609</v>
      </c>
      <c r="AP85" s="64" t="s">
        <v>610</v>
      </c>
      <c r="AQ85" s="64" t="s">
        <v>611</v>
      </c>
      <c r="AR85" s="64" t="s">
        <v>612</v>
      </c>
      <c r="AS85" s="71">
        <v>539214</v>
      </c>
      <c r="AT85" s="74">
        <f t="shared" si="5"/>
        <v>0</v>
      </c>
      <c r="AU85" s="74">
        <v>100</v>
      </c>
      <c r="AV85" s="64" t="s">
        <v>613</v>
      </c>
      <c r="AW85" s="64" t="s">
        <v>614</v>
      </c>
      <c r="AX85" s="64" t="s">
        <v>615</v>
      </c>
      <c r="AY85" s="64" t="s">
        <v>616</v>
      </c>
      <c r="AZ85" s="64" t="s">
        <v>617</v>
      </c>
      <c r="BA85" s="64" t="s">
        <v>618</v>
      </c>
      <c r="BB85" s="64" t="s">
        <v>619</v>
      </c>
      <c r="BC85" s="64" t="s">
        <v>620</v>
      </c>
      <c r="BD85" s="64" t="s">
        <v>621</v>
      </c>
      <c r="BE85" s="64" t="s">
        <v>622</v>
      </c>
      <c r="BF85" s="64" t="s">
        <v>623</v>
      </c>
      <c r="BG85" s="71">
        <v>539252</v>
      </c>
      <c r="BH85" s="74">
        <f t="shared" si="6"/>
        <v>0</v>
      </c>
      <c r="BI85" s="74">
        <v>120</v>
      </c>
    </row>
    <row r="86" spans="1:131" ht="32.1" customHeight="1">
      <c r="A86" s="131"/>
      <c r="B86" s="96" t="str">
        <f>VLOOKUP("STK",Sprachindex!A:Z,Info!$O$6,FALSE)</f>
        <v>STK</v>
      </c>
      <c r="C86" s="95"/>
      <c r="D86" s="95">
        <f>IF($N$25=2,AF86,IF($N$25=3,AT86,IF($N$25=4,BH86,IF($N$25=5,BV86,0))))</f>
        <v>0</v>
      </c>
      <c r="E86" s="250" t="str">
        <f>VLOOKUP("Regenklappe",Sprachindex!A:Z,Info!$O$6,FALSE)</f>
        <v>Regenklappe</v>
      </c>
      <c r="F86" s="251"/>
      <c r="G86" s="251"/>
      <c r="H86" s="251"/>
      <c r="I86" s="251"/>
      <c r="J86" s="307" t="str">
        <f>Formeln!A236</f>
        <v/>
      </c>
      <c r="K86" s="308"/>
      <c r="L86" s="96" t="str">
        <f t="shared" si="1"/>
        <v xml:space="preserve"> </v>
      </c>
      <c r="M86" s="130"/>
      <c r="N86" s="87"/>
      <c r="O86" s="1"/>
      <c r="P86" s="191" t="e">
        <f>ROUNDUP($A86/R86,0)*R86 &amp; "  " &amp; Formeln!$A$111</f>
        <v>#VALUE!</v>
      </c>
      <c r="Q86" s="191" t="str">
        <f>ROUNDUP($A86/S86,0)*S86 &amp; "  " &amp; Formeln!$A$111</f>
        <v>0  STK</v>
      </c>
      <c r="R86" s="191" t="str">
        <f>IF($N$25=1,"",IF($N$25=2,1,IF($N$25=3,1,IF($N$25=4,1,IF($N$25=5,"","")))))</f>
        <v/>
      </c>
      <c r="S86" s="191">
        <v>1</v>
      </c>
      <c r="T86" s="64" t="s">
        <v>624</v>
      </c>
      <c r="U86" s="64" t="s">
        <v>625</v>
      </c>
      <c r="V86" s="64" t="s">
        <v>626</v>
      </c>
      <c r="W86" s="64" t="s">
        <v>627</v>
      </c>
      <c r="X86" s="64" t="s">
        <v>628</v>
      </c>
      <c r="Y86" s="64" t="s">
        <v>629</v>
      </c>
      <c r="Z86" s="64" t="s">
        <v>630</v>
      </c>
      <c r="AA86" s="64" t="s">
        <v>631</v>
      </c>
      <c r="AB86" s="64" t="s">
        <v>632</v>
      </c>
      <c r="AC86" s="64" t="s">
        <v>633</v>
      </c>
      <c r="AD86" s="64" t="s">
        <v>634</v>
      </c>
      <c r="AE86" s="71">
        <v>539027</v>
      </c>
      <c r="AF86" s="74">
        <f t="shared" si="4"/>
        <v>0</v>
      </c>
      <c r="AG86" s="74">
        <v>80</v>
      </c>
      <c r="AH86" s="64" t="s">
        <v>635</v>
      </c>
      <c r="AI86" s="64" t="s">
        <v>636</v>
      </c>
      <c r="AJ86" s="64" t="s">
        <v>637</v>
      </c>
      <c r="AK86" s="64" t="s">
        <v>638</v>
      </c>
      <c r="AL86" s="64" t="s">
        <v>639</v>
      </c>
      <c r="AM86" s="64" t="s">
        <v>640</v>
      </c>
      <c r="AN86" s="64" t="s">
        <v>641</v>
      </c>
      <c r="AO86" s="64" t="s">
        <v>642</v>
      </c>
      <c r="AP86" s="64" t="s">
        <v>643</v>
      </c>
      <c r="AQ86" s="64" t="s">
        <v>644</v>
      </c>
      <c r="AR86" s="64" t="s">
        <v>645</v>
      </c>
      <c r="AS86" s="71">
        <v>539028</v>
      </c>
      <c r="AT86" s="74">
        <f t="shared" si="5"/>
        <v>0</v>
      </c>
      <c r="AU86" s="74">
        <v>100</v>
      </c>
      <c r="AV86" s="64" t="s">
        <v>646</v>
      </c>
      <c r="AW86" s="64" t="s">
        <v>647</v>
      </c>
      <c r="AX86" s="64" t="s">
        <v>648</v>
      </c>
      <c r="AY86" s="64" t="s">
        <v>649</v>
      </c>
      <c r="AZ86" s="64" t="s">
        <v>650</v>
      </c>
      <c r="BA86" s="64" t="s">
        <v>651</v>
      </c>
      <c r="BB86" s="64" t="s">
        <v>652</v>
      </c>
      <c r="BC86" s="64" t="s">
        <v>653</v>
      </c>
      <c r="BD86" s="64" t="s">
        <v>654</v>
      </c>
      <c r="BE86" s="64" t="s">
        <v>655</v>
      </c>
      <c r="BF86" s="64" t="s">
        <v>656</v>
      </c>
      <c r="BG86" s="71">
        <v>539029</v>
      </c>
      <c r="BH86" s="74">
        <f t="shared" si="6"/>
        <v>0</v>
      </c>
      <c r="BI86" s="74">
        <v>120</v>
      </c>
    </row>
    <row r="87" spans="1:131" ht="32.1" customHeight="1">
      <c r="A87" s="131"/>
      <c r="B87" s="96" t="str">
        <f>VLOOKUP("STK",Sprachindex!A:Z,Info!$O$6,FALSE)</f>
        <v>STK</v>
      </c>
      <c r="C87" s="95"/>
      <c r="D87" s="95" t="str">
        <f>IF(N25=2,AF87,IF(N25=3,AT87,IF(N25=4,BH87,"")))</f>
        <v/>
      </c>
      <c r="E87" s="250" t="str">
        <f>VLOOKUP("Ersatzgitter für Regenklappe",Sprachindex!A:Z,Info!$O$6,FALSE)</f>
        <v>Ersatzgitter für Regenklappe</v>
      </c>
      <c r="F87" s="251"/>
      <c r="G87" s="251"/>
      <c r="H87" s="251"/>
      <c r="I87" s="251"/>
      <c r="J87" s="307" t="str">
        <f>Formeln!A236</f>
        <v/>
      </c>
      <c r="K87" s="308"/>
      <c r="L87" s="96" t="str">
        <f t="shared" si="1"/>
        <v xml:space="preserve"> </v>
      </c>
      <c r="M87" s="130"/>
      <c r="N87" s="87"/>
      <c r="O87" s="1"/>
      <c r="P87" s="191" t="e">
        <f>ROUNDUP($A87/R87,0)*R87 &amp; "  " &amp; Formeln!$A$111</f>
        <v>#VALUE!</v>
      </c>
      <c r="Q87" s="191" t="str">
        <f>ROUNDUP($A87/S87,0)*S87 &amp; "  " &amp; Formeln!$A$111</f>
        <v>0  STK</v>
      </c>
      <c r="R87" s="191" t="str">
        <f>IF($N$25=1,"",IF($N$25=2,1,IF($N$25=3,1,IF($N$25=4,1,IF($N$25=5,"","")))))</f>
        <v/>
      </c>
      <c r="S87" s="191">
        <v>1</v>
      </c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71"/>
      <c r="AF87" s="74">
        <v>539089</v>
      </c>
      <c r="AG87" s="74">
        <v>80</v>
      </c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71"/>
      <c r="AT87" s="74">
        <v>539090</v>
      </c>
      <c r="AU87" s="74">
        <v>100</v>
      </c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71"/>
      <c r="BH87" s="74">
        <v>539091</v>
      </c>
      <c r="BI87" s="74">
        <v>120</v>
      </c>
    </row>
    <row r="88" spans="1:131" ht="32.1" customHeight="1">
      <c r="A88" s="131"/>
      <c r="B88" s="96" t="str">
        <f>VLOOKUP("STK",Sprachindex!A:Z,Info!$O$6,FALSE)</f>
        <v>STK</v>
      </c>
      <c r="C88" s="95"/>
      <c r="D88" s="95">
        <f>IF(AND($N$25=2,J88=Formeln!A240),AF88,IF(AND($N$25=3,J88=Formeln!A241),BV88,IF(AND($N$25=3,J88=Formeln!A242),CJ88,IF(AND($N$25=4,J88=Formeln!A240),CX88,IF(AND($N$25=4,J88=Formeln!A241),DL88,IF(AND($N$25=4,J88=Formeln!A242),DZ88,IF(AND($N$25=2,J88=Formeln!A241),AT88,IF(AND($N$25=3,J88=Formeln!A240),BH88,0))))))))</f>
        <v>0</v>
      </c>
      <c r="E88" s="250" t="str">
        <f>VLOOKUP("Rohreinmündung",Sprachindex!A:Z,Info!$O$6,FALSE)</f>
        <v>Rohreinmündung</v>
      </c>
      <c r="F88" s="251"/>
      <c r="G88" s="251"/>
      <c r="H88" s="251"/>
      <c r="I88" s="251"/>
      <c r="J88" s="301"/>
      <c r="K88" s="309"/>
      <c r="L88" s="96" t="str">
        <f>IF(OR(A88="",R88="",S88="")," ",IF($N$11=1,$P88,IF($N$11=2,Q88,0)))</f>
        <v xml:space="preserve"> </v>
      </c>
      <c r="M88" s="130"/>
      <c r="N88" s="87"/>
      <c r="O88" s="1"/>
      <c r="P88" s="191" t="e">
        <f>ROUNDUP($A88/R88,0)*R88 &amp; "  " &amp; Formeln!$A$111</f>
        <v>#VALUE!</v>
      </c>
      <c r="Q88" s="191" t="str">
        <f>ROUNDUP($A88/S88,0)*S88 &amp; "  " &amp; Formeln!$A$111</f>
        <v>0  STK</v>
      </c>
      <c r="R88" s="191" t="str">
        <f>IF(J88="80 x 60 ⌀",1,IF(J88="80 x 80 ⌀",2,IF(J88="100 x 60 ⌀",1,IF(J88="100 x 80 ⌀",2,IF(J88="100 x 100 ⌀",2,IF(J88="120 x 80 ⌀",1,IF(J88="120 x 100 ⌀",1,IF(J88="120 x 120 ⌀",1,""))))))))</f>
        <v/>
      </c>
      <c r="S88" s="191">
        <v>1</v>
      </c>
      <c r="T88" s="166" t="s">
        <v>657</v>
      </c>
      <c r="U88" s="166" t="s">
        <v>658</v>
      </c>
      <c r="V88" s="166" t="s">
        <v>659</v>
      </c>
      <c r="W88" s="166"/>
      <c r="X88" s="166" t="s">
        <v>660</v>
      </c>
      <c r="Y88" s="166"/>
      <c r="Z88" s="166"/>
      <c r="AA88" s="166"/>
      <c r="AB88" s="166"/>
      <c r="AC88" s="166"/>
      <c r="AD88" s="166"/>
      <c r="AE88" s="165"/>
      <c r="AF88" s="74">
        <f t="shared" ref="AF88:AF96" si="7">IF($N$21=1,V88,IF($N$21=2,X88,IF($N$21=3,W88,IF($N$21=4,Z88,IF($N$21=5,AA88,IF($N$21=6,U88,IF($N$21=7,AB88,IF($N$21=8,AC88,IF($N$21=9,T88,0)))))))))</f>
        <v>0</v>
      </c>
      <c r="AG88" s="74" t="s">
        <v>661</v>
      </c>
      <c r="AH88" s="166" t="s">
        <v>662</v>
      </c>
      <c r="AI88" s="166" t="s">
        <v>663</v>
      </c>
      <c r="AJ88" s="166" t="s">
        <v>664</v>
      </c>
      <c r="AK88" s="166" t="s">
        <v>665</v>
      </c>
      <c r="AL88" s="166" t="s">
        <v>666</v>
      </c>
      <c r="AM88" s="166" t="s">
        <v>667</v>
      </c>
      <c r="AN88" s="166" t="s">
        <v>668</v>
      </c>
      <c r="AO88" s="166" t="s">
        <v>669</v>
      </c>
      <c r="AP88" s="166" t="s">
        <v>670</v>
      </c>
      <c r="AQ88" s="166" t="s">
        <v>671</v>
      </c>
      <c r="AR88" s="166" t="s">
        <v>672</v>
      </c>
      <c r="AS88" s="165">
        <v>542079</v>
      </c>
      <c r="AT88" s="74">
        <f>IF($N$21=1,AJ88,IF($N$21=2,AL88,IF($N$21=3,AK88,IF($N$21=4,AN88,IF($N$21=5,AO88,IF($N$21=6,AI88,IF($N$21=7,AP88,IF($N$21=8,AQ88,IF($N$21=9,AH88,0)))))))))</f>
        <v>0</v>
      </c>
      <c r="AU88" s="74" t="s">
        <v>673</v>
      </c>
      <c r="AV88" s="166" t="s">
        <v>674</v>
      </c>
      <c r="AW88" s="166" t="s">
        <v>675</v>
      </c>
      <c r="AX88" s="166" t="s">
        <v>676</v>
      </c>
      <c r="AY88" s="166"/>
      <c r="AZ88" s="166" t="s">
        <v>677</v>
      </c>
      <c r="BA88" s="166"/>
      <c r="BB88" s="166"/>
      <c r="BC88" s="166"/>
      <c r="BD88" s="166"/>
      <c r="BE88" s="166"/>
      <c r="BF88" s="166"/>
      <c r="BG88" s="165"/>
      <c r="BH88" s="74">
        <f>IF($N$21=1,AX88,IF($N$21=2,AZ88,IF($N$21=3,AY88,IF($N$21=4,BB88,IF($N$21=5,BC88,IF($N$21=6,AW88,IF($N$21=7,BD88,IF($N$21=8,BE88,IF($N$21=9,AV88,0)))))))))</f>
        <v>0</v>
      </c>
      <c r="BI88" s="74" t="s">
        <v>678</v>
      </c>
      <c r="BJ88" s="166" t="s">
        <v>679</v>
      </c>
      <c r="BK88" s="166" t="s">
        <v>680</v>
      </c>
      <c r="BL88" s="166" t="s">
        <v>681</v>
      </c>
      <c r="BM88" s="166" t="s">
        <v>682</v>
      </c>
      <c r="BN88" s="166" t="s">
        <v>683</v>
      </c>
      <c r="BO88" s="166" t="s">
        <v>684</v>
      </c>
      <c r="BP88" s="166" t="s">
        <v>685</v>
      </c>
      <c r="BQ88" s="166" t="s">
        <v>686</v>
      </c>
      <c r="BR88" s="166" t="s">
        <v>687</v>
      </c>
      <c r="BS88" s="166" t="s">
        <v>688</v>
      </c>
      <c r="BT88" s="166" t="s">
        <v>689</v>
      </c>
      <c r="BU88" s="165">
        <v>542078</v>
      </c>
      <c r="BV88" s="74">
        <f>IF($N$21=1,BL88,IF($N$21=2,BN88,IF($N$21=3,BM88,IF($N$21=4,BP88,IF($N$21=5,BQ88,IF($N$21=6,BK88,IF($N$21=7,BR88,IF($N$21=8,BS88,IF($N$21=9,BJ88,0)))))))))</f>
        <v>0</v>
      </c>
      <c r="BW88" s="74" t="s">
        <v>690</v>
      </c>
      <c r="BX88" s="166" t="s">
        <v>691</v>
      </c>
      <c r="BY88" s="166" t="s">
        <v>692</v>
      </c>
      <c r="BZ88" s="166" t="s">
        <v>693</v>
      </c>
      <c r="CA88" s="166" t="s">
        <v>694</v>
      </c>
      <c r="CB88" s="166" t="s">
        <v>695</v>
      </c>
      <c r="CC88" s="166" t="s">
        <v>696</v>
      </c>
      <c r="CD88" s="166" t="s">
        <v>697</v>
      </c>
      <c r="CE88" s="166" t="s">
        <v>698</v>
      </c>
      <c r="CF88" s="166" t="s">
        <v>699</v>
      </c>
      <c r="CG88" s="166" t="s">
        <v>700</v>
      </c>
      <c r="CH88" s="166" t="s">
        <v>701</v>
      </c>
      <c r="CI88" s="165">
        <v>542003</v>
      </c>
      <c r="CJ88" s="74">
        <f>IF($N$21=1,BZ88,IF($N$21=2,CB88,IF($N$21=3,CA88,IF($N$21=4,CD88,IF($N$21=5,CE88,IF($N$21=6,BY88,IF($N$21=7,CF88,IF($N$21=8,CG88,IF($N$21=9,BX88,0)))))))))</f>
        <v>0</v>
      </c>
      <c r="CK88" s="74" t="s">
        <v>702</v>
      </c>
      <c r="CL88" s="166">
        <v>542038</v>
      </c>
      <c r="CM88" s="166">
        <v>542041</v>
      </c>
      <c r="CN88" s="166">
        <v>542039</v>
      </c>
      <c r="CO88" s="166">
        <v>542043</v>
      </c>
      <c r="CP88" s="166">
        <v>542040</v>
      </c>
      <c r="CQ88" s="166">
        <v>542042</v>
      </c>
      <c r="CR88" s="166">
        <v>542055</v>
      </c>
      <c r="CS88" s="166">
        <v>542044</v>
      </c>
      <c r="CT88" s="166">
        <v>542063</v>
      </c>
      <c r="CU88" s="166">
        <v>542069</v>
      </c>
      <c r="CV88" s="166">
        <v>542075</v>
      </c>
      <c r="CW88" s="165">
        <v>542095</v>
      </c>
      <c r="CX88" s="74">
        <f>IF($N$21=1,CN88,IF($N$21=2,CP88,IF($N$21=3,CO88,IF($N$21=4,CR88,IF($N$21=5,CS88,IF($N$21=6,CM88,IF($N$21=7,CT88,IF($N$21=8,CU88,IF($N$21=9,CL88,0)))))))))</f>
        <v>0</v>
      </c>
      <c r="CY88" s="74" t="s">
        <v>703</v>
      </c>
      <c r="CZ88" s="166">
        <v>542005</v>
      </c>
      <c r="DA88" s="166">
        <v>542006</v>
      </c>
      <c r="DB88" s="166">
        <v>542013</v>
      </c>
      <c r="DC88" s="166">
        <v>542036</v>
      </c>
      <c r="DD88" s="166">
        <v>542014</v>
      </c>
      <c r="DE88" s="166">
        <v>542026</v>
      </c>
      <c r="DF88" s="166">
        <v>542053</v>
      </c>
      <c r="DG88" s="166">
        <v>542031</v>
      </c>
      <c r="DH88" s="166">
        <v>542064</v>
      </c>
      <c r="DI88" s="166">
        <v>542070</v>
      </c>
      <c r="DJ88" s="166">
        <v>542076</v>
      </c>
      <c r="DK88" s="165">
        <v>542045</v>
      </c>
      <c r="DL88" s="74">
        <f>IF($N$21=1,DB88,IF($N$21=2,DD88,IF($N$21=3,DC88,IF($N$21=4,DF88,IF($N$21=5,DG88,IF($N$21=6,DA88,IF($N$21=7,DH88,IF($N$21=8,DI88,IF($N$21=9,CZ88,0)))))))))</f>
        <v>0</v>
      </c>
      <c r="DM88" s="74" t="s">
        <v>704</v>
      </c>
      <c r="DN88" s="166">
        <v>542007</v>
      </c>
      <c r="DO88" s="166">
        <v>542008</v>
      </c>
      <c r="DP88" s="166">
        <v>542010</v>
      </c>
      <c r="DQ88" s="166">
        <v>542037</v>
      </c>
      <c r="DR88" s="166">
        <v>542011</v>
      </c>
      <c r="DS88" s="166">
        <v>542027</v>
      </c>
      <c r="DT88" s="166">
        <v>542054</v>
      </c>
      <c r="DU88" s="166">
        <v>542032</v>
      </c>
      <c r="DV88" s="166">
        <v>542065</v>
      </c>
      <c r="DW88" s="166">
        <v>542071</v>
      </c>
      <c r="DX88" s="166">
        <v>542077</v>
      </c>
      <c r="DY88" s="165">
        <v>542009</v>
      </c>
      <c r="DZ88" s="74">
        <f>IF($N$21=1,DP88,IF($N$21=2,DR88,IF($N$21=3,DQ88,IF($N$21=4,DT88,IF($N$21=5,DU88,IF($N$21=6,DO88,IF($N$21=7,DV88,IF($N$21=8,DW88,IF($N$21=9,DN88,0)))))))))</f>
        <v>0</v>
      </c>
      <c r="EA88" s="74" t="s">
        <v>705</v>
      </c>
    </row>
    <row r="89" spans="1:131" ht="32.1" customHeight="1">
      <c r="A89" s="131"/>
      <c r="B89" s="96" t="str">
        <f>VLOOKUP("STK",Sprachindex!A:Z,Info!$O$6,FALSE)</f>
        <v>STK</v>
      </c>
      <c r="C89" s="95"/>
      <c r="D89" s="95" t="str">
        <f>IF(N25=3,AF89,"")</f>
        <v/>
      </c>
      <c r="E89" s="250" t="str">
        <f>VLOOKUP("Rohreinmündung konisch",Sprachindex!A:Z,Info!$O$6,FALSE)</f>
        <v>Rohreinmündung konisch</v>
      </c>
      <c r="F89" s="251"/>
      <c r="G89" s="251"/>
      <c r="H89" s="251"/>
      <c r="I89" s="251"/>
      <c r="J89" s="307" t="str">
        <f>IF(RI!N25=0,"",IF(N25=3,VLOOKUP("100 × ⌀ 50–75 mm",Sprachindex!A:Z,Info!$O$6,FALSE),Formeln!A174))</f>
        <v/>
      </c>
      <c r="K89" s="308"/>
      <c r="L89" s="96" t="str">
        <f t="shared" si="1"/>
        <v xml:space="preserve"> </v>
      </c>
      <c r="M89" s="130"/>
      <c r="N89" s="87"/>
      <c r="O89" s="1"/>
      <c r="P89" s="191" t="e">
        <f>ROUNDUP($A89/R89,0)*R89 &amp; "  " &amp; Formeln!$A$111</f>
        <v>#VALUE!</v>
      </c>
      <c r="Q89" s="191" t="str">
        <f>ROUNDUP($A89/S89,0)*S89 &amp; "  " &amp; Formeln!$A$111</f>
        <v>0  STK</v>
      </c>
      <c r="R89" s="191" t="str">
        <f>IF($N$25=3,2,"")</f>
        <v/>
      </c>
      <c r="S89" s="191">
        <v>1</v>
      </c>
      <c r="T89" s="64" t="s">
        <v>706</v>
      </c>
      <c r="U89" s="64" t="s">
        <v>707</v>
      </c>
      <c r="V89" s="64" t="s">
        <v>708</v>
      </c>
      <c r="W89" s="64" t="s">
        <v>709</v>
      </c>
      <c r="X89" s="64" t="s">
        <v>710</v>
      </c>
      <c r="Y89" s="64" t="s">
        <v>711</v>
      </c>
      <c r="Z89" s="64" t="s">
        <v>712</v>
      </c>
      <c r="AA89" s="64" t="s">
        <v>713</v>
      </c>
      <c r="AB89" s="64" t="s">
        <v>714</v>
      </c>
      <c r="AC89" s="64" t="s">
        <v>715</v>
      </c>
      <c r="AD89" s="64" t="s">
        <v>716</v>
      </c>
      <c r="AE89" s="71">
        <v>542091</v>
      </c>
      <c r="AF89" s="74">
        <f t="shared" si="7"/>
        <v>0</v>
      </c>
      <c r="AG89" s="74" t="s">
        <v>717</v>
      </c>
    </row>
    <row r="90" spans="1:131" ht="32.1" customHeight="1">
      <c r="A90" s="131"/>
      <c r="B90" s="96" t="str">
        <f>VLOOKUP("STK",Sprachindex!A:Z,Info!$O$6,FALSE)</f>
        <v>STK</v>
      </c>
      <c r="C90" s="95"/>
      <c r="D90" s="95">
        <f>IF(N25=2,AT90,IF(AND(N25=3,J90=Formeln!A255),BH90,IF(AND(N25=3,J90=Formeln!A256),BV90,IF(N25=4,CJ90,0))))</f>
        <v>0</v>
      </c>
      <c r="E90" s="250" t="str">
        <f>VLOOKUP("Standrohrkappe",Sprachindex!A:Z,Info!$O$6,FALSE)</f>
        <v>Standrohrkappe</v>
      </c>
      <c r="F90" s="251"/>
      <c r="G90" s="251"/>
      <c r="H90" s="251"/>
      <c r="I90" s="251"/>
      <c r="J90" s="301"/>
      <c r="K90" s="309"/>
      <c r="L90" s="96" t="str">
        <f t="shared" si="1"/>
        <v xml:space="preserve"> </v>
      </c>
      <c r="M90" s="130"/>
      <c r="N90" s="87"/>
      <c r="O90" s="1"/>
      <c r="P90" s="191" t="e">
        <f>ROUNDUP($A90/R90,0)*R90 &amp; "  " &amp; Formeln!$A$111</f>
        <v>#VALUE!</v>
      </c>
      <c r="Q90" s="191" t="str">
        <f>ROUNDUP($A90/S90,0)*S90 &amp; "  " &amp; Formeln!$A$111</f>
        <v>0  STK</v>
      </c>
      <c r="R90" s="191" t="str">
        <f>IF(J90="60/115",20,IF(J90="80/115",20,IF(J90="100/115",20,IF(J90="100/150",10,IF(J90="120/150",10,"")))))</f>
        <v/>
      </c>
      <c r="S90" s="191">
        <v>1</v>
      </c>
      <c r="T90" s="64" t="s">
        <v>718</v>
      </c>
      <c r="U90" s="64" t="s">
        <v>719</v>
      </c>
      <c r="V90" s="64" t="s">
        <v>720</v>
      </c>
      <c r="W90" s="64"/>
      <c r="X90" s="64" t="s">
        <v>721</v>
      </c>
      <c r="Y90" s="64"/>
      <c r="Z90" s="64"/>
      <c r="AA90" s="64"/>
      <c r="AB90" s="64"/>
      <c r="AC90" s="64"/>
      <c r="AD90" s="64"/>
      <c r="AE90" s="71"/>
      <c r="AF90" s="74">
        <f t="shared" si="7"/>
        <v>0</v>
      </c>
      <c r="AG90" s="74" t="s">
        <v>722</v>
      </c>
      <c r="AH90" s="64" t="s">
        <v>723</v>
      </c>
      <c r="AI90" s="64" t="s">
        <v>724</v>
      </c>
      <c r="AJ90" s="64" t="s">
        <v>725</v>
      </c>
      <c r="AK90" s="64" t="s">
        <v>726</v>
      </c>
      <c r="AL90" s="64" t="s">
        <v>727</v>
      </c>
      <c r="AM90" s="64" t="s">
        <v>728</v>
      </c>
      <c r="AN90" s="64" t="s">
        <v>729</v>
      </c>
      <c r="AO90" s="64" t="s">
        <v>730</v>
      </c>
      <c r="AP90" s="64" t="s">
        <v>731</v>
      </c>
      <c r="AQ90" s="64" t="s">
        <v>732</v>
      </c>
      <c r="AR90" s="64" t="s">
        <v>733</v>
      </c>
      <c r="AS90" s="71">
        <v>537259</v>
      </c>
      <c r="AT90" s="74">
        <f t="shared" ref="AT90:AT96" si="8">IF($N$21=1,AJ90,IF($N$21=2,AL90,IF($N$21=3,AK90,IF($N$21=4,AN90,IF($N$21=5,AO90,IF($N$21=6,AI90,IF($N$21=7,AP90,IF($N$21=8,AQ90,IF($N$21=9,AH90,0)))))))))</f>
        <v>0</v>
      </c>
      <c r="AU90" s="74" t="s">
        <v>734</v>
      </c>
      <c r="AV90" s="64" t="s">
        <v>735</v>
      </c>
      <c r="AW90" s="64" t="s">
        <v>736</v>
      </c>
      <c r="AX90" s="64" t="s">
        <v>737</v>
      </c>
      <c r="AY90" s="64" t="s">
        <v>738</v>
      </c>
      <c r="AZ90" s="64" t="s">
        <v>739</v>
      </c>
      <c r="BA90" s="64" t="s">
        <v>740</v>
      </c>
      <c r="BB90" s="64" t="s">
        <v>741</v>
      </c>
      <c r="BC90" s="64" t="s">
        <v>742</v>
      </c>
      <c r="BD90" s="64" t="s">
        <v>743</v>
      </c>
      <c r="BE90" s="64" t="s">
        <v>744</v>
      </c>
      <c r="BF90" s="64" t="s">
        <v>745</v>
      </c>
      <c r="BG90" s="71">
        <v>537260</v>
      </c>
      <c r="BH90" s="74">
        <f>IF($N$21=1,AX90,IF($N$21=2,AZ90,IF($N$21=3,AY90,IF($N$21=4,BB90,IF($N$21=5,BC90,IF($N$21=6,AW90,IF($N$21=7,BD90,IF($N$21=8,BE90,IF($N$21=9,AV90,0)))))))))</f>
        <v>0</v>
      </c>
      <c r="BI90" s="74" t="s">
        <v>746</v>
      </c>
      <c r="BJ90" s="64" t="s">
        <v>747</v>
      </c>
      <c r="BK90" s="64" t="s">
        <v>748</v>
      </c>
      <c r="BL90" s="64" t="s">
        <v>749</v>
      </c>
      <c r="BM90" s="64" t="s">
        <v>750</v>
      </c>
      <c r="BN90" s="64" t="s">
        <v>751</v>
      </c>
      <c r="BO90" s="64" t="s">
        <v>752</v>
      </c>
      <c r="BP90" s="64" t="s">
        <v>753</v>
      </c>
      <c r="BQ90" s="64" t="s">
        <v>754</v>
      </c>
      <c r="BR90" s="64" t="s">
        <v>755</v>
      </c>
      <c r="BS90" s="64" t="s">
        <v>756</v>
      </c>
      <c r="BT90" s="64" t="s">
        <v>757</v>
      </c>
      <c r="BU90" s="71">
        <v>537261</v>
      </c>
      <c r="BV90" s="74">
        <f>IF($N$21=1,BL90,IF($N$21=2,BN90,IF($N$21=3,BM90,IF($N$21=4,BP90,IF($N$21=5,BQ90,IF($N$21=6,BK90,IF($N$21=7,BR90,IF($N$21=8,BS90,IF($N$21=9,BJ90,0)))))))))</f>
        <v>0</v>
      </c>
      <c r="BW90" s="74" t="s">
        <v>758</v>
      </c>
      <c r="BX90" s="64" t="s">
        <v>759</v>
      </c>
      <c r="BY90" s="64" t="s">
        <v>760</v>
      </c>
      <c r="BZ90" s="64" t="s">
        <v>761</v>
      </c>
      <c r="CA90" s="64" t="s">
        <v>762</v>
      </c>
      <c r="CB90" s="64" t="s">
        <v>763</v>
      </c>
      <c r="CC90" s="64" t="s">
        <v>764</v>
      </c>
      <c r="CD90" s="64" t="s">
        <v>765</v>
      </c>
      <c r="CE90" s="64" t="s">
        <v>766</v>
      </c>
      <c r="CF90" s="64" t="s">
        <v>767</v>
      </c>
      <c r="CG90" s="64" t="s">
        <v>768</v>
      </c>
      <c r="CH90" s="64" t="s">
        <v>769</v>
      </c>
      <c r="CI90" s="71">
        <v>537262</v>
      </c>
      <c r="CJ90" s="74">
        <f>IF($N$21=1,BZ90,IF($N$21=2,CB90,IF($N$21=3,CA90,IF($N$21=4,CD90,IF($N$21=5,CE90,IF($N$21=6,BY90,IF($N$21=7,CF90,IF($N$21=8,CG90,IF($N$21=9,BX90,0)))))))))</f>
        <v>0</v>
      </c>
      <c r="CK90" s="74" t="s">
        <v>770</v>
      </c>
    </row>
    <row r="91" spans="1:131" ht="32.1" customHeight="1">
      <c r="A91" s="131"/>
      <c r="B91" s="96" t="str">
        <f>VLOOKUP("STK",Sprachindex!A:Z,Info!$O$6,FALSE)</f>
        <v>STK</v>
      </c>
      <c r="C91" s="95"/>
      <c r="D91" s="95">
        <f>IF($N$25=2,AF91,IF($N$25=3,AT91,IF($N$25=4,BH91,IF($N$25=5,BV91,0))))</f>
        <v>0</v>
      </c>
      <c r="E91" s="250" t="str">
        <f>VLOOKUP("Standrohr mit Reinigungsöffnung",Sprachindex!A:Z,Info!$O$6,FALSE)</f>
        <v>Standrohr mit Reinigungsöffnung</v>
      </c>
      <c r="F91" s="251"/>
      <c r="G91" s="251"/>
      <c r="H91" s="251"/>
      <c r="I91" s="251"/>
      <c r="J91" s="307" t="str">
        <f>Formeln!A259</f>
        <v/>
      </c>
      <c r="K91" s="308"/>
      <c r="L91" s="96" t="str">
        <f t="shared" si="1"/>
        <v xml:space="preserve"> </v>
      </c>
      <c r="M91" s="130"/>
      <c r="N91" s="87"/>
      <c r="O91" s="1"/>
      <c r="P91" s="191" t="e">
        <f>ROUNDUP($A91/R91,0)*R91 &amp; "  " &amp; Formeln!$A$111</f>
        <v>#VALUE!</v>
      </c>
      <c r="Q91" s="191" t="str">
        <f>ROUNDUP($A91/S91,0)*S91 &amp; "  " &amp; Formeln!$A$111</f>
        <v>0  STK</v>
      </c>
      <c r="R91" s="191" t="str">
        <f>IF($N$25=2,1,IF($N$25=3,1,IF($N$25=4,1,"")))</f>
        <v/>
      </c>
      <c r="S91" s="191">
        <v>1</v>
      </c>
      <c r="T91" s="64" t="s">
        <v>771</v>
      </c>
      <c r="U91" s="64" t="s">
        <v>772</v>
      </c>
      <c r="V91" s="64" t="s">
        <v>773</v>
      </c>
      <c r="W91" s="64" t="s">
        <v>774</v>
      </c>
      <c r="X91" s="64" t="s">
        <v>775</v>
      </c>
      <c r="Y91" s="64" t="s">
        <v>776</v>
      </c>
      <c r="Z91" s="64" t="s">
        <v>777</v>
      </c>
      <c r="AA91" s="64" t="s">
        <v>778</v>
      </c>
      <c r="AB91" s="64" t="s">
        <v>779</v>
      </c>
      <c r="AC91" s="64" t="s">
        <v>780</v>
      </c>
      <c r="AD91" s="64" t="s">
        <v>781</v>
      </c>
      <c r="AE91" s="71">
        <v>668124</v>
      </c>
      <c r="AF91" s="74">
        <f t="shared" si="7"/>
        <v>0</v>
      </c>
      <c r="AG91" s="74" t="s">
        <v>782</v>
      </c>
      <c r="AH91" s="64" t="s">
        <v>783</v>
      </c>
      <c r="AI91" s="64" t="s">
        <v>784</v>
      </c>
      <c r="AJ91" s="64" t="s">
        <v>785</v>
      </c>
      <c r="AK91" s="64" t="s">
        <v>786</v>
      </c>
      <c r="AL91" s="64" t="s">
        <v>787</v>
      </c>
      <c r="AM91" s="64" t="s">
        <v>788</v>
      </c>
      <c r="AN91" s="64" t="s">
        <v>789</v>
      </c>
      <c r="AO91" s="64" t="s">
        <v>790</v>
      </c>
      <c r="AP91" s="64" t="s">
        <v>791</v>
      </c>
      <c r="AQ91" s="64" t="s">
        <v>792</v>
      </c>
      <c r="AR91" s="64" t="s">
        <v>793</v>
      </c>
      <c r="AS91" s="71">
        <v>668143</v>
      </c>
      <c r="AT91" s="74">
        <f t="shared" si="8"/>
        <v>0</v>
      </c>
      <c r="AU91" s="74" t="s">
        <v>794</v>
      </c>
      <c r="AV91" s="64" t="s">
        <v>795</v>
      </c>
      <c r="AW91" s="64" t="s">
        <v>796</v>
      </c>
      <c r="AX91" s="64" t="s">
        <v>797</v>
      </c>
      <c r="AY91" s="64" t="s">
        <v>798</v>
      </c>
      <c r="AZ91" s="64" t="s">
        <v>799</v>
      </c>
      <c r="BA91" s="64" t="s">
        <v>800</v>
      </c>
      <c r="BB91" s="64" t="s">
        <v>801</v>
      </c>
      <c r="BC91" s="64" t="s">
        <v>802</v>
      </c>
      <c r="BD91" s="64" t="s">
        <v>803</v>
      </c>
      <c r="BE91" s="64" t="s">
        <v>804</v>
      </c>
      <c r="BF91" s="64" t="s">
        <v>805</v>
      </c>
      <c r="BG91" s="71">
        <v>668161</v>
      </c>
      <c r="BH91" s="74">
        <f>IF($N$21=1,AX91,IF($N$21=2,AZ91,IF($N$21=3,AY91,IF($N$21=4,BB91,IF($N$21=5,BC91,IF($N$21=6,AW91,IF($N$21=7,BD91,IF($N$21=8,BE91,IF($N$21=9,AV91,0)))))))))</f>
        <v>0</v>
      </c>
      <c r="BI91" s="74" t="s">
        <v>806</v>
      </c>
    </row>
    <row r="92" spans="1:131" ht="32.1" customHeight="1">
      <c r="A92" s="131"/>
      <c r="B92" s="96" t="str">
        <f>VLOOKUP("STK",Sprachindex!A:Z,Info!$O$6,FALSE)</f>
        <v>STK</v>
      </c>
      <c r="C92" s="95"/>
      <c r="D92" s="95">
        <f>IF($N$25=2,AT92,IF($N$25=3,BH92,IF($N$25=4,BV92,IF($N$25=1,AF92,0))))</f>
        <v>0</v>
      </c>
      <c r="E92" s="250" t="str">
        <f>VLOOKUP("Rohrverbinder",Sprachindex!A:Z,Info!$O$6,FALSE)</f>
        <v>Rohrverbinder</v>
      </c>
      <c r="F92" s="251"/>
      <c r="G92" s="251"/>
      <c r="H92" s="251"/>
      <c r="I92" s="251"/>
      <c r="J92" s="307" t="str">
        <f>Formeln!A273</f>
        <v/>
      </c>
      <c r="K92" s="308"/>
      <c r="L92" s="96" t="str">
        <f t="shared" si="1"/>
        <v xml:space="preserve"> </v>
      </c>
      <c r="M92" s="130"/>
      <c r="N92" s="87"/>
      <c r="O92" s="1"/>
      <c r="P92" s="191" t="e">
        <f>ROUNDUP($A92/R92,0)*R92 &amp; "  " &amp; Formeln!$A$111</f>
        <v>#VALUE!</v>
      </c>
      <c r="Q92" s="191" t="str">
        <f>ROUNDUP($A92/S92,0)*S92 &amp; "  " &amp; Formeln!$A$111</f>
        <v>0  STK</v>
      </c>
      <c r="R92" s="191" t="str">
        <f>IF($N$25=1,2,IF($N$25=2,2,IF($N$25=3,2,IF($N$25=4,2,IF($N$25=5,"","")))))</f>
        <v/>
      </c>
      <c r="S92" s="191">
        <v>1</v>
      </c>
      <c r="T92" s="64" t="s">
        <v>807</v>
      </c>
      <c r="U92" s="64" t="s">
        <v>808</v>
      </c>
      <c r="V92" s="64" t="s">
        <v>809</v>
      </c>
      <c r="W92" s="64"/>
      <c r="X92" s="64" t="s">
        <v>810</v>
      </c>
      <c r="Y92" s="64"/>
      <c r="Z92" s="64"/>
      <c r="AA92" s="64"/>
      <c r="AB92" s="64"/>
      <c r="AC92" s="64"/>
      <c r="AD92" s="64"/>
      <c r="AE92" s="71"/>
      <c r="AF92" s="74">
        <f t="shared" si="7"/>
        <v>0</v>
      </c>
      <c r="AG92" s="74">
        <v>60</v>
      </c>
      <c r="AH92" s="64" t="s">
        <v>811</v>
      </c>
      <c r="AI92" s="64" t="s">
        <v>812</v>
      </c>
      <c r="AJ92" s="64" t="s">
        <v>813</v>
      </c>
      <c r="AK92" s="64" t="s">
        <v>814</v>
      </c>
      <c r="AL92" s="64" t="s">
        <v>815</v>
      </c>
      <c r="AM92" s="64" t="s">
        <v>816</v>
      </c>
      <c r="AN92" s="64" t="s">
        <v>817</v>
      </c>
      <c r="AO92" s="64" t="s">
        <v>818</v>
      </c>
      <c r="AP92" s="64" t="s">
        <v>819</v>
      </c>
      <c r="AQ92" s="64" t="s">
        <v>820</v>
      </c>
      <c r="AR92" s="64" t="s">
        <v>821</v>
      </c>
      <c r="AS92" s="71">
        <v>527320</v>
      </c>
      <c r="AT92" s="74">
        <f t="shared" si="8"/>
        <v>0</v>
      </c>
      <c r="AU92" s="74">
        <v>80</v>
      </c>
      <c r="AV92" s="64" t="s">
        <v>822</v>
      </c>
      <c r="AW92" s="64" t="s">
        <v>823</v>
      </c>
      <c r="AX92" s="64" t="s">
        <v>824</v>
      </c>
      <c r="AY92" s="64" t="s">
        <v>825</v>
      </c>
      <c r="AZ92" s="64" t="s">
        <v>826</v>
      </c>
      <c r="BA92" s="64" t="s">
        <v>827</v>
      </c>
      <c r="BB92" s="64" t="s">
        <v>828</v>
      </c>
      <c r="BC92" s="64" t="s">
        <v>829</v>
      </c>
      <c r="BD92" s="64" t="s">
        <v>830</v>
      </c>
      <c r="BE92" s="64" t="s">
        <v>831</v>
      </c>
      <c r="BF92" s="64" t="s">
        <v>832</v>
      </c>
      <c r="BG92" s="71">
        <v>527340</v>
      </c>
      <c r="BH92" s="74">
        <f>IF($N$21=1,AX92,IF($N$21=2,AZ92,IF($N$21=3,AY92,IF($N$21=4,BB92,IF($N$21=5,BC92,IF($N$21=6,AW92,IF($N$21=7,BD92,IF($N$21=8,BE92,IF($N$21=9,AV92,0)))))))))</f>
        <v>0</v>
      </c>
      <c r="BI92" s="74">
        <v>100</v>
      </c>
      <c r="BJ92" s="64" t="s">
        <v>833</v>
      </c>
      <c r="BK92" s="64" t="s">
        <v>834</v>
      </c>
      <c r="BL92" s="64" t="s">
        <v>835</v>
      </c>
      <c r="BM92" s="64" t="s">
        <v>836</v>
      </c>
      <c r="BN92" s="64" t="s">
        <v>837</v>
      </c>
      <c r="BO92" s="64" t="s">
        <v>838</v>
      </c>
      <c r="BP92" s="64" t="s">
        <v>839</v>
      </c>
      <c r="BQ92" s="64" t="s">
        <v>840</v>
      </c>
      <c r="BR92" s="64" t="s">
        <v>841</v>
      </c>
      <c r="BS92" s="64" t="s">
        <v>842</v>
      </c>
      <c r="BT92" s="64" t="s">
        <v>843</v>
      </c>
      <c r="BU92" s="71">
        <v>527360</v>
      </c>
      <c r="BV92" s="74">
        <f>IF($N$21=1,BL92,IF($N$21=2,BN92,IF($N$21=3,BM92,IF($N$21=4,BP92,IF($N$21=5,BQ92,IF($N$21=6,BK92,IF($N$21=7,BR92,IF($N$21=8,BS92,IF($N$21=9,BJ92,0)))))))))</f>
        <v>0</v>
      </c>
      <c r="BW92" s="74">
        <v>120</v>
      </c>
    </row>
    <row r="93" spans="1:131" ht="32.1" customHeight="1">
      <c r="A93" s="131"/>
      <c r="B93" s="96" t="str">
        <f>VLOOKUP("STK",Sprachindex!A:Z,Info!$O$6,FALSE)</f>
        <v>STK</v>
      </c>
      <c r="C93" s="95"/>
      <c r="D93" s="95">
        <f>IF($N$25=3,AF93,0)</f>
        <v>0</v>
      </c>
      <c r="E93" s="250" t="str">
        <f>VLOOKUP("Rohrverbinder Stärke 1,6 mm",Sprachindex!A:Z,Info!$O$6,FALSE)</f>
        <v>Rohrverbinder Stärke 1,6 mm</v>
      </c>
      <c r="F93" s="251"/>
      <c r="G93" s="251"/>
      <c r="H93" s="251"/>
      <c r="I93" s="251"/>
      <c r="J93" s="307" t="str">
        <f>IF($N$25="","",IF($N$25=1,Formeln!$A$174,IF($N$25=2,Formeln!$A$174,IF($N$25=3,Formeln!$F$191,IF($N$25=4,Formeln!$A$174,IF($N$25=5,Formeln!$A$174,""))))))</f>
        <v/>
      </c>
      <c r="K93" s="308"/>
      <c r="L93" s="96" t="str">
        <f t="shared" ref="L93" si="9">IF(OR(A93="",R93="",S93="")," ",IF($N$11=1,$P93,IF($N$11=2,Q93,0)))</f>
        <v xml:space="preserve"> </v>
      </c>
      <c r="M93" s="130"/>
      <c r="N93" s="87"/>
      <c r="O93" s="1"/>
      <c r="P93" s="191" t="e">
        <f>ROUNDUP($A93/R93,0)*R93 &amp; "  " &amp; Formeln!$A$111</f>
        <v>#VALUE!</v>
      </c>
      <c r="Q93" s="191" t="str">
        <f>ROUNDUP($A93/S93,0)*S93 &amp; "  " &amp; Formeln!$A$111</f>
        <v>0  STK</v>
      </c>
      <c r="R93" s="191" t="str">
        <f>IF($N$25=3,1,"")</f>
        <v/>
      </c>
      <c r="S93" s="191">
        <v>1</v>
      </c>
      <c r="T93" s="64" t="s">
        <v>844</v>
      </c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71"/>
      <c r="AF93" s="74">
        <f t="shared" si="7"/>
        <v>0</v>
      </c>
      <c r="AG93" s="74"/>
    </row>
    <row r="94" spans="1:131" ht="32.1" customHeight="1">
      <c r="A94" s="131"/>
      <c r="B94" s="96" t="str">
        <f>VLOOKUP("STK",Sprachindex!A:Z,Info!$O$6,FALSE)</f>
        <v>STK</v>
      </c>
      <c r="C94" s="95"/>
      <c r="D94" s="95" t="str">
        <f>IF(J94=Formeln!G190,AF94,IF(J94=Formeln!G191,AT94,IF(J94=Formeln!G192,BH94,"")))</f>
        <v/>
      </c>
      <c r="E94" s="250" t="str">
        <f>VLOOKUP("Schiebemuffe",Sprachindex!A:Z,Info!$O$6,FALSE)</f>
        <v>Schiebemuffe</v>
      </c>
      <c r="F94" s="251"/>
      <c r="G94" s="251"/>
      <c r="H94" s="251"/>
      <c r="I94" s="251"/>
      <c r="J94" s="301"/>
      <c r="K94" s="302"/>
      <c r="L94" s="96" t="str">
        <f t="shared" si="1"/>
        <v xml:space="preserve"> </v>
      </c>
      <c r="M94" s="130"/>
      <c r="N94" s="87"/>
      <c r="O94" s="1"/>
      <c r="P94" s="191" t="e">
        <f>ROUNDUP($A94/R94,0)*R94 &amp; "  " &amp; Formeln!$A$111</f>
        <v>#VALUE!</v>
      </c>
      <c r="Q94" s="191" t="str">
        <f>ROUNDUP($A94/S94,0)*S94 &amp; "  " &amp; Formeln!$A$111</f>
        <v>0  STK</v>
      </c>
      <c r="R94" s="191" t="str">
        <f>IF(J94=Formeln!G189,"",IF(J94=Formeln!$G$190,1,IF(J94=Formeln!G191,1,IF(J94=Formeln!G192,1,""))))</f>
        <v/>
      </c>
      <c r="S94" s="191">
        <v>1</v>
      </c>
      <c r="T94" s="64" t="s">
        <v>845</v>
      </c>
      <c r="U94" s="64"/>
      <c r="V94" s="64"/>
      <c r="W94" s="64"/>
      <c r="X94" s="64" t="s">
        <v>846</v>
      </c>
      <c r="Y94" s="64"/>
      <c r="Z94" s="64"/>
      <c r="AA94" s="64"/>
      <c r="AB94" s="64"/>
      <c r="AC94" s="64" t="s">
        <v>847</v>
      </c>
      <c r="AD94" s="64"/>
      <c r="AE94" s="71">
        <v>537322</v>
      </c>
      <c r="AF94" s="74">
        <f t="shared" si="7"/>
        <v>0</v>
      </c>
      <c r="AG94" s="74">
        <v>80</v>
      </c>
      <c r="AH94" s="64" t="s">
        <v>848</v>
      </c>
      <c r="AI94" s="64"/>
      <c r="AJ94" s="64"/>
      <c r="AK94" s="64"/>
      <c r="AL94" s="64" t="s">
        <v>849</v>
      </c>
      <c r="AM94" s="64"/>
      <c r="AN94" s="64"/>
      <c r="AO94" s="64"/>
      <c r="AP94" s="64"/>
      <c r="AQ94" s="64" t="s">
        <v>850</v>
      </c>
      <c r="AR94" s="64"/>
      <c r="AS94" s="71">
        <v>537342</v>
      </c>
      <c r="AT94" s="74">
        <f t="shared" si="8"/>
        <v>0</v>
      </c>
      <c r="AU94" s="74">
        <v>100</v>
      </c>
      <c r="AV94" s="64" t="s">
        <v>851</v>
      </c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71"/>
      <c r="BH94" s="74">
        <f>IF($N$21=1,AX94,IF($N$21=2,AZ94,IF($N$21=3,AY94,IF($N$21=4,BB94,IF($N$21=5,BC94,IF($N$21=6,AW94,IF($N$21=7,BD94,IF($N$21=8,BE94,IF($N$21=9,AV94,0)))))))))</f>
        <v>0</v>
      </c>
      <c r="BI94" s="74">
        <v>120</v>
      </c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167"/>
      <c r="BV94" s="168"/>
      <c r="BW94" s="168"/>
    </row>
    <row r="95" spans="1:131" ht="32.1" customHeight="1">
      <c r="A95" s="131"/>
      <c r="B95" s="96" t="s">
        <v>28</v>
      </c>
      <c r="C95" s="95"/>
      <c r="D95" s="133">
        <f>IF(J95=Formeln!A290,AF95,IF(J95=Formeln!A291,AT95,0))</f>
        <v>0</v>
      </c>
      <c r="E95" s="250" t="str">
        <f>VLOOKUP("Rohrübergang",Sprachindex!A:Z,Info!$O$6,FALSE)</f>
        <v>Rohrübergang</v>
      </c>
      <c r="F95" s="251"/>
      <c r="G95" s="251"/>
      <c r="H95" s="251"/>
      <c r="I95" s="251"/>
      <c r="J95" s="301"/>
      <c r="K95" s="302"/>
      <c r="L95" s="96" t="str">
        <f t="shared" si="1"/>
        <v xml:space="preserve"> </v>
      </c>
      <c r="M95" s="130"/>
      <c r="N95" s="87"/>
      <c r="O95" s="1"/>
      <c r="P95" s="191" t="e">
        <f>ROUNDUP($A95/R95,0)*R95 &amp; "  " &amp; Formeln!$A$111</f>
        <v>#VALUE!</v>
      </c>
      <c r="Q95" s="191" t="str">
        <f>ROUNDUP($A95/S95,0)*S95 &amp; "  " &amp; Formeln!$A$111</f>
        <v>0  STK</v>
      </c>
      <c r="R95" s="191" t="str">
        <f>IF(J95=Formeln!A289,"",IF(J95=Formeln!A290,1,IF(J95=Formeln!A291,1,"")))</f>
        <v/>
      </c>
      <c r="S95" s="191">
        <v>1</v>
      </c>
      <c r="T95" s="64" t="s">
        <v>852</v>
      </c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71"/>
      <c r="AF95" s="74">
        <f t="shared" si="7"/>
        <v>0</v>
      </c>
      <c r="AG95" s="74" t="s">
        <v>853</v>
      </c>
      <c r="AH95" s="64" t="s">
        <v>854</v>
      </c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71"/>
      <c r="AT95" s="74">
        <f t="shared" si="8"/>
        <v>0</v>
      </c>
      <c r="AU95" s="74" t="s">
        <v>855</v>
      </c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71"/>
      <c r="BH95" s="74"/>
      <c r="BI95" s="7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167"/>
      <c r="BV95" s="168"/>
      <c r="BW95" s="168"/>
    </row>
    <row r="96" spans="1:131" ht="32.1" customHeight="1">
      <c r="A96" s="131"/>
      <c r="B96" s="96" t="str">
        <f>VLOOKUP("STK",Sprachindex!A:Z,Info!$O$6,FALSE)</f>
        <v>STK</v>
      </c>
      <c r="C96" s="95"/>
      <c r="D96" s="95">
        <f>IF($N$25=2,AF96,IF($N$25=3,AT96,IF($N$25=4,BH96,IF($N$25=5,BV96,0))))</f>
        <v>0</v>
      </c>
      <c r="E96" s="250" t="str">
        <f>VLOOKUP("Rohrschelle für Standrohr",Sprachindex!A:Z,Info!$O$6,FALSE)</f>
        <v>Rohrschelle für Standrohr</v>
      </c>
      <c r="F96" s="251"/>
      <c r="G96" s="251"/>
      <c r="H96" s="251"/>
      <c r="I96" s="251"/>
      <c r="J96" s="307" t="str">
        <f>Formeln!A236</f>
        <v/>
      </c>
      <c r="K96" s="308"/>
      <c r="L96" s="96" t="str">
        <f t="shared" si="1"/>
        <v xml:space="preserve"> </v>
      </c>
      <c r="M96" s="130"/>
      <c r="N96" s="87"/>
      <c r="O96" s="1"/>
      <c r="P96" s="191" t="e">
        <f>ROUNDUP($A96/R96,0)*R96 &amp; "  " &amp; Formeln!$A$111</f>
        <v>#VALUE!</v>
      </c>
      <c r="Q96" s="191" t="str">
        <f>ROUNDUP($A96/S96,0)*S96 &amp; "  " &amp; Formeln!$A$111</f>
        <v>0  STK</v>
      </c>
      <c r="R96" s="191" t="str">
        <f>IF($N$25=2,15,IF($N$25=3,15,IF($N$25=4,15,"")))</f>
        <v/>
      </c>
      <c r="S96" s="191">
        <v>1</v>
      </c>
      <c r="T96" s="64" t="s">
        <v>856</v>
      </c>
      <c r="U96" s="64" t="s">
        <v>857</v>
      </c>
      <c r="V96" s="64" t="s">
        <v>858</v>
      </c>
      <c r="W96" s="64" t="s">
        <v>859</v>
      </c>
      <c r="X96" s="64" t="s">
        <v>860</v>
      </c>
      <c r="Y96" s="64" t="s">
        <v>861</v>
      </c>
      <c r="Z96" s="64" t="s">
        <v>862</v>
      </c>
      <c r="AA96" s="64" t="s">
        <v>863</v>
      </c>
      <c r="AB96" s="64" t="s">
        <v>864</v>
      </c>
      <c r="AC96" s="64" t="s">
        <v>865</v>
      </c>
      <c r="AD96" s="64" t="s">
        <v>866</v>
      </c>
      <c r="AE96" s="71">
        <v>668310</v>
      </c>
      <c r="AF96" s="74">
        <f t="shared" si="7"/>
        <v>0</v>
      </c>
      <c r="AG96" s="74">
        <v>80</v>
      </c>
      <c r="AH96" s="64" t="s">
        <v>867</v>
      </c>
      <c r="AI96" s="64" t="s">
        <v>868</v>
      </c>
      <c r="AJ96" s="64" t="s">
        <v>869</v>
      </c>
      <c r="AK96" s="64" t="s">
        <v>870</v>
      </c>
      <c r="AL96" s="64" t="s">
        <v>871</v>
      </c>
      <c r="AM96" s="64" t="s">
        <v>872</v>
      </c>
      <c r="AN96" s="64" t="s">
        <v>873</v>
      </c>
      <c r="AO96" s="64" t="s">
        <v>874</v>
      </c>
      <c r="AP96" s="64" t="s">
        <v>875</v>
      </c>
      <c r="AQ96" s="64" t="s">
        <v>876</v>
      </c>
      <c r="AR96" s="64" t="s">
        <v>877</v>
      </c>
      <c r="AS96" s="71">
        <v>668330</v>
      </c>
      <c r="AT96" s="74">
        <f t="shared" si="8"/>
        <v>0</v>
      </c>
      <c r="AU96" s="74">
        <v>100</v>
      </c>
      <c r="AV96" s="64" t="s">
        <v>878</v>
      </c>
      <c r="AW96" s="64" t="s">
        <v>879</v>
      </c>
      <c r="AX96" s="64" t="s">
        <v>880</v>
      </c>
      <c r="AY96" s="64" t="s">
        <v>881</v>
      </c>
      <c r="AZ96" s="64" t="s">
        <v>882</v>
      </c>
      <c r="BA96" s="64" t="s">
        <v>883</v>
      </c>
      <c r="BB96" s="64" t="s">
        <v>884</v>
      </c>
      <c r="BC96" s="64" t="s">
        <v>885</v>
      </c>
      <c r="BD96" s="64" t="s">
        <v>886</v>
      </c>
      <c r="BE96" s="64" t="s">
        <v>887</v>
      </c>
      <c r="BF96" s="64" t="s">
        <v>888</v>
      </c>
      <c r="BG96" s="71">
        <v>668350</v>
      </c>
      <c r="BH96" s="74">
        <f>IF($N$21=1,AX96,IF($N$21=2,AZ96,IF($N$21=3,AY96,IF($N$21=4,BB96,IF($N$21=5,BC96,IF($N$21=6,AW96,IF($N$21=7,BD96,IF($N$21=8,BE96,IF($N$21=9,AV96,0)))))))))</f>
        <v>0</v>
      </c>
      <c r="BI96" s="74">
        <v>120</v>
      </c>
    </row>
    <row r="97" spans="1:89" ht="32.1" customHeight="1">
      <c r="A97" s="131"/>
      <c r="B97" s="96" t="str">
        <f>VLOOKUP("STK",Sprachindex!A:Z,Info!$O$6,FALSE)</f>
        <v>STK</v>
      </c>
      <c r="C97" s="95"/>
      <c r="D97" s="95">
        <v>537060</v>
      </c>
      <c r="E97" s="250" t="str">
        <f>VLOOKUP("Laubfänger",Sprachindex!A:Z,Info!$O$6,FALSE)</f>
        <v>Laubfänger</v>
      </c>
      <c r="F97" s="251"/>
      <c r="G97" s="251"/>
      <c r="H97" s="251"/>
      <c r="I97" s="251"/>
      <c r="J97" s="307" t="str">
        <f>Formeln!A236</f>
        <v/>
      </c>
      <c r="K97" s="308"/>
      <c r="L97" s="96" t="str">
        <f t="shared" si="1"/>
        <v xml:space="preserve"> </v>
      </c>
      <c r="M97" s="130"/>
      <c r="N97" s="87"/>
      <c r="O97" s="1"/>
      <c r="P97" s="191" t="e">
        <f>ROUNDUP($A97/R97,0)*R97 &amp; "  " &amp; Formeln!$A$111</f>
        <v>#VALUE!</v>
      </c>
      <c r="Q97" s="191" t="str">
        <f>ROUNDUP($A97/S97,0)*S97 &amp; "  " &amp; Formeln!$A$111</f>
        <v>0  STK</v>
      </c>
      <c r="R97" s="191" t="str">
        <f>IF($N$25=0,"",IF($N$25=1,"",IF($N$25=5,"",25)))</f>
        <v/>
      </c>
      <c r="S97" s="191">
        <v>1</v>
      </c>
      <c r="T97" s="206" t="s">
        <v>48</v>
      </c>
      <c r="U97" s="49" t="s">
        <v>79</v>
      </c>
      <c r="V97" s="49" t="s">
        <v>74</v>
      </c>
      <c r="W97" s="49" t="s">
        <v>77</v>
      </c>
      <c r="X97" s="49" t="s">
        <v>75</v>
      </c>
      <c r="Y97" s="49" t="s">
        <v>84</v>
      </c>
      <c r="Z97" s="49" t="s">
        <v>78</v>
      </c>
      <c r="AA97" s="49" t="s">
        <v>82</v>
      </c>
      <c r="AB97" s="49" t="s">
        <v>83</v>
      </c>
      <c r="AC97" s="49" t="s">
        <v>370</v>
      </c>
      <c r="AD97" s="49" t="s">
        <v>81</v>
      </c>
      <c r="AE97" s="49" t="s">
        <v>76</v>
      </c>
      <c r="AF97" s="49"/>
      <c r="AG97" s="74"/>
      <c r="AH97" s="49" t="s">
        <v>48</v>
      </c>
      <c r="AI97" s="49" t="s">
        <v>79</v>
      </c>
      <c r="AJ97" s="49" t="s">
        <v>74</v>
      </c>
      <c r="AK97" s="49" t="s">
        <v>77</v>
      </c>
      <c r="AL97" s="49" t="s">
        <v>75</v>
      </c>
      <c r="AM97" s="49" t="s">
        <v>84</v>
      </c>
      <c r="AN97" s="49" t="s">
        <v>78</v>
      </c>
      <c r="AO97" s="49" t="s">
        <v>82</v>
      </c>
      <c r="AP97" s="49" t="s">
        <v>83</v>
      </c>
      <c r="AQ97" s="49" t="s">
        <v>370</v>
      </c>
      <c r="AR97" s="49" t="s">
        <v>81</v>
      </c>
      <c r="AS97" s="49" t="s">
        <v>76</v>
      </c>
      <c r="AT97" s="49"/>
      <c r="AU97" s="74"/>
      <c r="AV97" s="49" t="s">
        <v>48</v>
      </c>
      <c r="AW97" s="49" t="s">
        <v>79</v>
      </c>
      <c r="AX97" s="49" t="s">
        <v>74</v>
      </c>
      <c r="AY97" s="49" t="s">
        <v>77</v>
      </c>
      <c r="AZ97" s="49" t="s">
        <v>75</v>
      </c>
      <c r="BA97" s="49" t="s">
        <v>84</v>
      </c>
      <c r="BB97" s="49" t="s">
        <v>78</v>
      </c>
      <c r="BC97" s="49" t="s">
        <v>82</v>
      </c>
      <c r="BD97" s="49" t="s">
        <v>83</v>
      </c>
      <c r="BE97" s="49" t="s">
        <v>370</v>
      </c>
      <c r="BF97" s="49" t="s">
        <v>81</v>
      </c>
      <c r="BG97" s="49" t="s">
        <v>76</v>
      </c>
      <c r="BH97" s="49"/>
      <c r="BI97" s="74"/>
      <c r="BJ97" s="49" t="s">
        <v>48</v>
      </c>
      <c r="BK97" s="49" t="s">
        <v>79</v>
      </c>
      <c r="BL97" s="49" t="s">
        <v>74</v>
      </c>
      <c r="BM97" s="49" t="s">
        <v>77</v>
      </c>
      <c r="BN97" s="49" t="s">
        <v>75</v>
      </c>
      <c r="BO97" s="49" t="s">
        <v>84</v>
      </c>
      <c r="BP97" s="49" t="s">
        <v>78</v>
      </c>
      <c r="BQ97" s="49" t="s">
        <v>82</v>
      </c>
      <c r="BR97" s="49" t="s">
        <v>83</v>
      </c>
      <c r="BS97" s="49" t="s">
        <v>370</v>
      </c>
      <c r="BT97" s="49" t="s">
        <v>81</v>
      </c>
      <c r="BU97" s="49" t="s">
        <v>76</v>
      </c>
      <c r="BV97" s="49"/>
      <c r="BW97" s="74"/>
      <c r="BX97" s="49" t="s">
        <v>48</v>
      </c>
      <c r="BY97" s="49" t="s">
        <v>79</v>
      </c>
      <c r="BZ97" s="49" t="s">
        <v>74</v>
      </c>
      <c r="CA97" s="49" t="s">
        <v>77</v>
      </c>
      <c r="CB97" s="49" t="s">
        <v>75</v>
      </c>
      <c r="CC97" s="49" t="s">
        <v>84</v>
      </c>
      <c r="CD97" s="49" t="s">
        <v>78</v>
      </c>
      <c r="CE97" s="49" t="s">
        <v>82</v>
      </c>
      <c r="CF97" s="49" t="s">
        <v>83</v>
      </c>
      <c r="CG97" s="49" t="s">
        <v>370</v>
      </c>
      <c r="CH97" s="49" t="s">
        <v>81</v>
      </c>
      <c r="CI97" s="49" t="s">
        <v>76</v>
      </c>
      <c r="CJ97" s="49"/>
      <c r="CK97" s="74"/>
    </row>
    <row r="98" spans="1:89" ht="32.1" customHeight="1">
      <c r="A98" s="131"/>
      <c r="B98" s="96" t="str">
        <f>VLOOKUP("STK",Sprachindex!A:Z,Info!$O$6,FALSE)</f>
        <v>STK</v>
      </c>
      <c r="C98" s="95"/>
      <c r="D98" s="95">
        <f>IF($N$25=2,AF98,IF($N$25=3,AT98,IF($N$25=4,BH98,IF($N$25=5,BV98,0))))</f>
        <v>0</v>
      </c>
      <c r="E98" s="250" t="str">
        <f>VLOOKUP("Wasserfangkasten",Sprachindex!A:Z,Info!$O$6,FALSE)</f>
        <v>Wasserfangkasten</v>
      </c>
      <c r="F98" s="251"/>
      <c r="G98" s="251"/>
      <c r="H98" s="251"/>
      <c r="I98" s="251"/>
      <c r="J98" s="307" t="str">
        <f>Formeln!A227</f>
        <v/>
      </c>
      <c r="K98" s="308"/>
      <c r="L98" s="96" t="str">
        <f t="shared" si="1"/>
        <v xml:space="preserve"> </v>
      </c>
      <c r="M98" s="130"/>
      <c r="N98" s="87"/>
      <c r="O98" s="1"/>
      <c r="P98" s="191" t="e">
        <f>ROUNDUP($A98/R98,0)*R98 &amp; "  " &amp; Formeln!$A$111</f>
        <v>#VALUE!</v>
      </c>
      <c r="Q98" s="191" t="str">
        <f>ROUNDUP($A98/S98,0)*S98 &amp; "  " &amp; Formeln!$A$111</f>
        <v>0  STK</v>
      </c>
      <c r="R98" s="191" t="str">
        <f>IF($N$25=2,2,IF($N$25=3,2,IF($N$25=4,2,IF($N$25=5,2,""))))</f>
        <v/>
      </c>
      <c r="S98" s="191">
        <v>1</v>
      </c>
      <c r="T98" s="64" t="s">
        <v>889</v>
      </c>
      <c r="U98" s="64" t="s">
        <v>890</v>
      </c>
      <c r="V98" s="64" t="s">
        <v>891</v>
      </c>
      <c r="W98" s="64" t="s">
        <v>892</v>
      </c>
      <c r="X98" s="64" t="s">
        <v>893</v>
      </c>
      <c r="Y98" s="64" t="s">
        <v>894</v>
      </c>
      <c r="Z98" s="64" t="s">
        <v>895</v>
      </c>
      <c r="AA98" s="64" t="s">
        <v>896</v>
      </c>
      <c r="AB98" s="64" t="s">
        <v>897</v>
      </c>
      <c r="AC98" s="64" t="s">
        <v>898</v>
      </c>
      <c r="AD98" s="64" t="s">
        <v>899</v>
      </c>
      <c r="AE98" s="71">
        <v>550110</v>
      </c>
      <c r="AF98" s="74">
        <f t="shared" ref="AF98:AF103" si="10">IF($N$21=1,V98,IF($N$21=2,X98,IF($N$21=3,W98,IF($N$21=4,Z98,IF($N$21=5,AA98,IF($N$21=6,U98,IF($N$21=7,AB98,IF($N$21=8,AC98,IF($N$21=9,T98,0)))))))))</f>
        <v>0</v>
      </c>
      <c r="AG98" s="74">
        <v>80</v>
      </c>
      <c r="AH98" s="64" t="s">
        <v>900</v>
      </c>
      <c r="AI98" s="64" t="s">
        <v>901</v>
      </c>
      <c r="AJ98" s="64" t="s">
        <v>902</v>
      </c>
      <c r="AK98" s="64" t="s">
        <v>903</v>
      </c>
      <c r="AL98" s="64" t="s">
        <v>904</v>
      </c>
      <c r="AM98" s="64" t="s">
        <v>905</v>
      </c>
      <c r="AN98" s="64" t="s">
        <v>906</v>
      </c>
      <c r="AO98" s="64" t="s">
        <v>907</v>
      </c>
      <c r="AP98" s="64" t="s">
        <v>908</v>
      </c>
      <c r="AQ98" s="64" t="s">
        <v>909</v>
      </c>
      <c r="AR98" s="64" t="s">
        <v>910</v>
      </c>
      <c r="AS98" s="71">
        <v>550130</v>
      </c>
      <c r="AT98" s="74">
        <f>IF($N$21=1,AJ98,IF($N$21=2,AL98,IF($N$21=3,AK98,IF($N$21=4,AN98,IF($N$21=5,AO98,IF($N$21=6,AI98,IF($N$21=7,AP98,IF($N$21=8,AQ98,IF($N$21=9,AH98,0)))))))))</f>
        <v>0</v>
      </c>
      <c r="AU98" s="74">
        <v>100</v>
      </c>
      <c r="AV98" s="64" t="s">
        <v>911</v>
      </c>
      <c r="AW98" s="64" t="s">
        <v>912</v>
      </c>
      <c r="AX98" s="64" t="s">
        <v>913</v>
      </c>
      <c r="AY98" s="64" t="s">
        <v>914</v>
      </c>
      <c r="AZ98" s="64" t="s">
        <v>915</v>
      </c>
      <c r="BA98" s="64" t="s">
        <v>916</v>
      </c>
      <c r="BB98" s="64" t="s">
        <v>917</v>
      </c>
      <c r="BC98" s="64" t="s">
        <v>918</v>
      </c>
      <c r="BD98" s="64" t="s">
        <v>919</v>
      </c>
      <c r="BE98" s="64" t="s">
        <v>920</v>
      </c>
      <c r="BF98" s="64" t="s">
        <v>921</v>
      </c>
      <c r="BG98" s="71">
        <v>550150</v>
      </c>
      <c r="BH98" s="74">
        <f>IF($N$21=1,AX98,IF($N$21=2,AZ98,IF($N$21=3,AY98,IF($N$21=4,BB98,IF($N$21=5,BC98,IF($N$21=6,AW98,IF($N$21=7,BD98,IF($N$21=8,BE98,IF($N$21=9,AV98,0)))))))))</f>
        <v>0</v>
      </c>
      <c r="BI98" s="74">
        <v>120</v>
      </c>
      <c r="BJ98" s="64" t="s">
        <v>922</v>
      </c>
      <c r="BK98" s="64" t="s">
        <v>923</v>
      </c>
      <c r="BL98" s="64" t="s">
        <v>924</v>
      </c>
      <c r="BM98" s="64"/>
      <c r="BN98" s="64" t="s">
        <v>925</v>
      </c>
      <c r="BO98" s="64"/>
      <c r="BP98" s="64"/>
      <c r="BQ98" s="64"/>
      <c r="BR98" s="64"/>
      <c r="BS98" s="64"/>
      <c r="BT98" s="64"/>
      <c r="BU98" s="71"/>
      <c r="BV98" s="74">
        <f>IF($N$21=1,BL98,IF($N$21=2,BN98,IF($N$21=3,BM98,IF($N$21=4,BP98,IF($N$21=5,BQ98,IF($N$21=6,BK98,IF($N$21=7,BR98,IF($N$21=8,BS98,IF($N$21=9,BJ98,0)))))))))</f>
        <v>0</v>
      </c>
      <c r="BW98" s="74">
        <v>150</v>
      </c>
    </row>
    <row r="99" spans="1:89" ht="32.1" customHeight="1">
      <c r="A99" s="131"/>
      <c r="B99" s="96" t="str">
        <f>VLOOKUP("STK",Sprachindex!A:Z,Info!$O$6,FALSE)</f>
        <v>STK</v>
      </c>
      <c r="C99" s="95"/>
      <c r="D99" s="95" t="str">
        <f>IF($N$25=3,AF99," ")</f>
        <v xml:space="preserve"> </v>
      </c>
      <c r="E99" s="250" t="str">
        <f>VLOOKUP("Wasserfangkasten Rund",Sprachindex!A:Z,Info!$O$6,FALSE)</f>
        <v>Wasserfangkasten Rund</v>
      </c>
      <c r="F99" s="251"/>
      <c r="G99" s="251"/>
      <c r="H99" s="251"/>
      <c r="I99" s="251"/>
      <c r="J99" s="307" t="str">
        <f>IF($N$25="","",IF($N$25=1,Formeln!$A$174,IF($N$25=2,Formeln!$A$174,IF($N$25=3,Formeln!$F$191,IF($N$25=4,Formeln!$A$174,IF($N$25=5,Formeln!$A$174,""))))))</f>
        <v/>
      </c>
      <c r="K99" s="308"/>
      <c r="L99" s="96" t="str">
        <f t="shared" si="1"/>
        <v xml:space="preserve"> </v>
      </c>
      <c r="M99" s="130"/>
      <c r="N99" s="87"/>
      <c r="O99" s="1"/>
      <c r="P99" s="191" t="e">
        <f>ROUNDUP($A99/R99,0)*R99 &amp; "  " &amp; Formeln!$A$111</f>
        <v>#VALUE!</v>
      </c>
      <c r="Q99" s="191" t="str">
        <f>ROUNDUP($A99/S99,0)*S99 &amp; "  " &amp; Formeln!$A$111</f>
        <v>0  STK</v>
      </c>
      <c r="R99" s="191" t="str">
        <f>IF($N$25=3,1,"")</f>
        <v/>
      </c>
      <c r="S99" s="191">
        <v>1</v>
      </c>
      <c r="T99" s="64" t="s">
        <v>926</v>
      </c>
      <c r="U99" s="64" t="s">
        <v>927</v>
      </c>
      <c r="V99" s="64" t="s">
        <v>928</v>
      </c>
      <c r="W99" s="64"/>
      <c r="X99" s="64" t="s">
        <v>929</v>
      </c>
      <c r="Y99" s="64"/>
      <c r="Z99" s="64"/>
      <c r="AA99" s="64"/>
      <c r="AB99" s="64"/>
      <c r="AC99" s="64"/>
      <c r="AD99" s="64"/>
      <c r="AE99" s="71">
        <v>0</v>
      </c>
      <c r="AF99" s="74">
        <f t="shared" si="10"/>
        <v>0</v>
      </c>
      <c r="AG99" s="7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167"/>
      <c r="AT99" s="74">
        <f>IF($N$21=1,AJ99,IF($N$21=2,AL99,IF($N$21=3,AK99,IF($N$21=4,AN99,IF($N$21=5,AO99,IF($N$21=6,AI99,IF($N$21=7,AP99,IF($N$21=8,AQ99,IF($N$21=9,AH99,0)))))))))</f>
        <v>0</v>
      </c>
      <c r="AU99" s="168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167"/>
      <c r="BH99" s="168"/>
      <c r="BI99" s="168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167"/>
      <c r="BV99" s="168"/>
      <c r="BW99" s="168"/>
    </row>
    <row r="100" spans="1:89" ht="32.1" customHeight="1">
      <c r="A100" s="131"/>
      <c r="B100" s="96" t="str">
        <f>VLOOKUP("STK",Sprachindex!A:Z,Info!$O$6,FALSE)</f>
        <v>STK</v>
      </c>
      <c r="C100" s="95"/>
      <c r="D100" s="95">
        <f>IF($N$25=2,BH100,IF($N$25=3,AF100,IF($N$25=4,AT100,0)))</f>
        <v>0</v>
      </c>
      <c r="E100" s="250" t="str">
        <f>VLOOKUP("Speiereinmündung",Sprachindex!A:Z,Info!$O$6,FALSE)</f>
        <v>Speiereinmündung</v>
      </c>
      <c r="F100" s="251"/>
      <c r="G100" s="251"/>
      <c r="H100" s="251"/>
      <c r="I100" s="251"/>
      <c r="J100" s="307" t="str">
        <f>IF(N25=0,"",IF(N25=2,Formeln!F190,IF(N25=3,Formeln!F191,IF(N25=4,Formeln!F192,Formeln!A174))))</f>
        <v/>
      </c>
      <c r="K100" s="308"/>
      <c r="L100" s="96" t="str">
        <f t="shared" si="1"/>
        <v xml:space="preserve"> </v>
      </c>
      <c r="M100" s="130"/>
      <c r="N100" s="87"/>
      <c r="O100" s="1"/>
      <c r="P100" s="191" t="e">
        <f>ROUNDUP($A100/R100,0)*R100 &amp; "  " &amp; Formeln!$A$111</f>
        <v>#VALUE!</v>
      </c>
      <c r="Q100" s="191" t="str">
        <f>ROUNDUP($A100/S100,0)*S100 &amp; "  " &amp; Formeln!$A$111</f>
        <v>0  STK</v>
      </c>
      <c r="R100" s="191" t="str">
        <f>IF($N$25=2,1,IF($N$25=3,1,IF($N$25=4,1,"")))</f>
        <v/>
      </c>
      <c r="S100" s="191">
        <v>1</v>
      </c>
      <c r="T100" s="64" t="s">
        <v>930</v>
      </c>
      <c r="U100" s="64" t="s">
        <v>931</v>
      </c>
      <c r="V100" s="64" t="s">
        <v>932</v>
      </c>
      <c r="W100" s="64" t="s">
        <v>933</v>
      </c>
      <c r="X100" s="64" t="s">
        <v>934</v>
      </c>
      <c r="Y100" s="64" t="s">
        <v>935</v>
      </c>
      <c r="Z100" s="64" t="s">
        <v>936</v>
      </c>
      <c r="AA100" s="64" t="s">
        <v>937</v>
      </c>
      <c r="AB100" s="64" t="s">
        <v>938</v>
      </c>
      <c r="AC100" s="64" t="s">
        <v>939</v>
      </c>
      <c r="AD100" s="64" t="s">
        <v>940</v>
      </c>
      <c r="AE100" s="71">
        <v>553021</v>
      </c>
      <c r="AF100" s="74">
        <f t="shared" si="10"/>
        <v>0</v>
      </c>
      <c r="AG100" s="74">
        <v>100</v>
      </c>
      <c r="AH100" s="64" t="s">
        <v>941</v>
      </c>
      <c r="AI100" s="64"/>
      <c r="AJ100" s="64"/>
      <c r="AK100" s="64"/>
      <c r="AL100" s="64" t="s">
        <v>942</v>
      </c>
      <c r="AM100" s="64" t="s">
        <v>943</v>
      </c>
      <c r="AN100" s="64"/>
      <c r="AO100" s="64"/>
      <c r="AP100" s="64"/>
      <c r="AQ100" s="64"/>
      <c r="AR100" s="64"/>
      <c r="AS100" s="71"/>
      <c r="AT100" s="74">
        <f>IF($N$21=1,AJ100,IF($N$21=2,AL100,IF($N$21=3,AK100,IF($N$21=4,AN100,IF($N$21=5,AO100,IF($N$21=6,AI100,IF($N$21=7,AP100,IF($N$21=8,AQ100,IF($N$21=9,AH100,0)))))))))</f>
        <v>0</v>
      </c>
      <c r="AU100" s="74">
        <v>120</v>
      </c>
      <c r="AV100" s="64" t="s">
        <v>944</v>
      </c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71"/>
      <c r="BH100" s="74">
        <f>IF($N$21=1,AX100,IF($N$21=2,AZ100,IF($N$21=3,AY100,IF($N$21=4,BB100,IF($N$21=5,BC100,IF($N$21=6,AW100,IF($N$21=7,BD100,IF($N$21=8,BE100,IF($N$21=9,AV100,0)))))))))</f>
        <v>0</v>
      </c>
      <c r="BI100" s="74">
        <v>80</v>
      </c>
    </row>
    <row r="101" spans="1:89" ht="32.1" customHeight="1">
      <c r="A101" s="131"/>
      <c r="B101" s="96" t="str">
        <f>VLOOKUP("STK",Sprachindex!A:Z,Info!$O$6,FALSE)</f>
        <v>STK</v>
      </c>
      <c r="C101" s="95"/>
      <c r="D101" s="95">
        <f>IF(J101=Formeln!A264,AF101,IF(J101=Formeln!A265,AT101,0))</f>
        <v>0</v>
      </c>
      <c r="E101" s="250" t="str">
        <f>VLOOKUP("Patentniete",Sprachindex!A:Z,Info!$O$6,FALSE)</f>
        <v>Patentniete</v>
      </c>
      <c r="F101" s="251"/>
      <c r="G101" s="251"/>
      <c r="H101" s="251"/>
      <c r="I101" s="251"/>
      <c r="J101" s="301"/>
      <c r="K101" s="309"/>
      <c r="L101" s="96" t="str">
        <f t="shared" si="1"/>
        <v xml:space="preserve"> </v>
      </c>
      <c r="M101" s="130"/>
      <c r="N101" s="87"/>
      <c r="O101" s="1"/>
      <c r="P101" s="191" t="e">
        <f>ROUNDUP($A101/R101,0)*R101 &amp; "  " &amp; Formeln!$A$111</f>
        <v>#VALUE!</v>
      </c>
      <c r="Q101" s="191" t="str">
        <f>ROUNDUP($A101/S101,0)*S101 &amp; "  " &amp; Formeln!$A$111</f>
        <v>0  STK</v>
      </c>
      <c r="R101" s="191" t="str">
        <f>IF($J101=Formeln!$A$264,1000,IF($J101=Formeln!$A$265,500,""))</f>
        <v/>
      </c>
      <c r="S101" s="191">
        <v>1</v>
      </c>
      <c r="T101" s="64" t="s">
        <v>945</v>
      </c>
      <c r="U101" s="64" t="s">
        <v>946</v>
      </c>
      <c r="V101" s="64" t="s">
        <v>947</v>
      </c>
      <c r="W101" s="64" t="s">
        <v>948</v>
      </c>
      <c r="X101" s="64" t="s">
        <v>949</v>
      </c>
      <c r="Y101" s="64" t="s">
        <v>950</v>
      </c>
      <c r="Z101" s="64" t="s">
        <v>951</v>
      </c>
      <c r="AA101" s="64" t="s">
        <v>952</v>
      </c>
      <c r="AB101" s="64" t="s">
        <v>953</v>
      </c>
      <c r="AC101" s="64" t="s">
        <v>954</v>
      </c>
      <c r="AD101" s="64" t="s">
        <v>955</v>
      </c>
      <c r="AE101" s="71">
        <v>533011</v>
      </c>
      <c r="AF101" s="74">
        <f t="shared" si="10"/>
        <v>0</v>
      </c>
      <c r="AG101" s="74" t="s">
        <v>956</v>
      </c>
      <c r="AH101" s="64" t="s">
        <v>957</v>
      </c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4">
        <f>IF($N$21=1,AJ101,IF($N$21=2,AL101,IF($N$21=3,AK101,IF($N$21=4,AN101,IF($N$21=5,AO101,IF($N$21=6,AI101,IF($N$21=7,AP101,IF($N$21=8,AQ101,IF($N$21=9,AH101,0)))))))))</f>
        <v>0</v>
      </c>
      <c r="AU101" s="74" t="s">
        <v>958</v>
      </c>
    </row>
    <row r="102" spans="1:89" ht="32.1" customHeight="1">
      <c r="A102" s="131"/>
      <c r="B102" s="96" t="str">
        <f>VLOOKUP("lfm",Sprachindex!A:Z,Info!$O$6,FALSE)</f>
        <v>lfm</v>
      </c>
      <c r="C102" s="95"/>
      <c r="D102" s="95">
        <f>AF102</f>
        <v>0</v>
      </c>
      <c r="E102" s="250" t="str">
        <f>VLOOKUP("Ablaufkette",Sprachindex!A:Z,Info!$O$6,FALSE)</f>
        <v>Ablaufkette</v>
      </c>
      <c r="F102" s="251"/>
      <c r="G102" s="251"/>
      <c r="H102" s="251"/>
      <c r="I102" s="251"/>
      <c r="J102" s="307"/>
      <c r="K102" s="308"/>
      <c r="L102" s="96" t="str">
        <f t="shared" si="1"/>
        <v xml:space="preserve"> </v>
      </c>
      <c r="M102" s="130"/>
      <c r="N102" s="87"/>
      <c r="O102" s="1"/>
      <c r="P102" s="191" t="str">
        <f>ROUNDUP($A102/R102,0)*R102 &amp; "  " &amp; Formeln!$A$112</f>
        <v>0  lfm</v>
      </c>
      <c r="Q102" s="191" t="str">
        <f>ROUNDUP($A102/S102,0)*S102 &amp; "  " &amp; Formeln!$A$112</f>
        <v>0  lfm</v>
      </c>
      <c r="R102" s="191">
        <v>1</v>
      </c>
      <c r="S102" s="191">
        <v>1</v>
      </c>
      <c r="T102" s="64" t="s">
        <v>959</v>
      </c>
      <c r="U102" s="64" t="s">
        <v>960</v>
      </c>
      <c r="V102" s="64" t="s">
        <v>961</v>
      </c>
      <c r="W102" s="64" t="s">
        <v>962</v>
      </c>
      <c r="X102" s="64" t="s">
        <v>963</v>
      </c>
      <c r="Y102" s="64" t="s">
        <v>964</v>
      </c>
      <c r="Z102" s="64" t="s">
        <v>965</v>
      </c>
      <c r="AA102" s="64" t="s">
        <v>966</v>
      </c>
      <c r="AB102" s="64" t="s">
        <v>967</v>
      </c>
      <c r="AC102" s="64" t="s">
        <v>968</v>
      </c>
      <c r="AD102" s="64" t="s">
        <v>969</v>
      </c>
      <c r="AE102" s="71">
        <v>667015</v>
      </c>
      <c r="AF102" s="74">
        <f t="shared" si="10"/>
        <v>0</v>
      </c>
      <c r="AG102" s="74" t="s">
        <v>970</v>
      </c>
    </row>
    <row r="103" spans="1:89" ht="32.1" customHeight="1">
      <c r="A103" s="131"/>
      <c r="B103" s="96" t="str">
        <f>VLOOKUP("STK",Sprachindex!A:Z,Info!$O$6,FALSE)</f>
        <v>STK</v>
      </c>
      <c r="C103" s="95"/>
      <c r="D103" s="95">
        <f>IF(J103=Formeln!$A$269,AF103,IF(J103=Formeln!$A$270,AT103,0))</f>
        <v>0</v>
      </c>
      <c r="E103" s="250" t="str">
        <f>VLOOKUP("Hydrolack",Sprachindex!A:Z,Info!$O$6,FALSE)</f>
        <v>Hydrolack</v>
      </c>
      <c r="F103" s="251"/>
      <c r="G103" s="251"/>
      <c r="H103" s="251"/>
      <c r="I103" s="251"/>
      <c r="J103" s="301"/>
      <c r="K103" s="309"/>
      <c r="L103" s="96" t="str">
        <f t="shared" si="1"/>
        <v xml:space="preserve"> </v>
      </c>
      <c r="M103" s="130"/>
      <c r="N103" s="87"/>
      <c r="O103" s="1"/>
      <c r="P103" s="191" t="e">
        <f>ROUNDUP($A103/R103,0)*R103 &amp; "  " &amp; Formeln!$A$111</f>
        <v>#VALUE!</v>
      </c>
      <c r="Q103" s="191" t="str">
        <f>ROUNDUP($A103/S103,0)*S103 &amp; "  " &amp; Formeln!$A$111</f>
        <v>0  STK</v>
      </c>
      <c r="R103" s="191" t="str">
        <f>IF(J103=Formeln!A269,6,IF(J103=Formeln!A270,1,""))</f>
        <v/>
      </c>
      <c r="S103" s="191">
        <v>1</v>
      </c>
      <c r="T103" s="211"/>
      <c r="U103" s="64" t="s">
        <v>971</v>
      </c>
      <c r="V103" s="64" t="s">
        <v>972</v>
      </c>
      <c r="W103" s="64" t="s">
        <v>973</v>
      </c>
      <c r="X103" s="64" t="s">
        <v>974</v>
      </c>
      <c r="Y103" s="64" t="s">
        <v>975</v>
      </c>
      <c r="Z103" s="64" t="s">
        <v>976</v>
      </c>
      <c r="AA103" s="64" t="s">
        <v>977</v>
      </c>
      <c r="AB103" s="64" t="s">
        <v>978</v>
      </c>
      <c r="AC103" s="71"/>
      <c r="AD103" s="64" t="s">
        <v>979</v>
      </c>
      <c r="AE103" s="71">
        <v>430023</v>
      </c>
      <c r="AF103" s="74">
        <f t="shared" si="10"/>
        <v>0</v>
      </c>
      <c r="AG103" s="74" t="s">
        <v>980</v>
      </c>
      <c r="AH103" s="71"/>
      <c r="AI103" s="71">
        <v>430142</v>
      </c>
      <c r="AJ103" s="71">
        <v>430143</v>
      </c>
      <c r="AK103" s="71"/>
      <c r="AL103" s="64" t="s">
        <v>981</v>
      </c>
      <c r="AM103" s="71"/>
      <c r="AN103" s="64" t="s">
        <v>982</v>
      </c>
      <c r="AO103" s="71"/>
      <c r="AP103" s="71"/>
      <c r="AQ103" s="71"/>
      <c r="AR103" s="71"/>
      <c r="AS103" s="71">
        <v>430144</v>
      </c>
      <c r="AT103" s="76">
        <f>AH103</f>
        <v>0</v>
      </c>
      <c r="AU103" s="74" t="s">
        <v>983</v>
      </c>
    </row>
    <row r="104" spans="1:89" ht="32.1" customHeight="1">
      <c r="A104" s="131"/>
      <c r="B104" s="96" t="str">
        <f>VLOOKUP("lfm",Sprachindex!A:Z,Info!$O$6,FALSE)</f>
        <v>lfm</v>
      </c>
      <c r="C104" s="95"/>
      <c r="D104" s="95">
        <v>580001</v>
      </c>
      <c r="E104" s="250" t="str">
        <f>VLOOKUP("Dila",Sprachindex!A:Z,Info!$O$6,FALSE)</f>
        <v>Dila</v>
      </c>
      <c r="F104" s="251"/>
      <c r="G104" s="251"/>
      <c r="H104" s="251"/>
      <c r="I104" s="251"/>
      <c r="J104" s="307" t="str">
        <f>VLOOKUP("6.000 × 375 mm",Sprachindex!A:Z,Info!$O$6,FALSE)</f>
        <v>6.000 × 375 mm</v>
      </c>
      <c r="K104" s="308"/>
      <c r="L104" s="96" t="str">
        <f>IF(A104=""," ",IF($N$11=1,$P104,IF($N$11=2,Q104,0)))</f>
        <v xml:space="preserve"> </v>
      </c>
      <c r="M104" s="130"/>
      <c r="N104" s="87"/>
      <c r="O104" s="1"/>
      <c r="P104" s="191" t="str">
        <f>ROUNDUP($A104/6,0)*6 &amp; "  " &amp; Formeln!$A$112 &amp; "                     " &amp; " (" &amp; ROUNDUP($A104/6,0) &amp; " " &amp; Formeln!$A$111 &amp; ")"</f>
        <v>0  lfm                      (0 STK)</v>
      </c>
      <c r="Q104" s="191" t="str">
        <f>ROUNDUP($A104,0) &amp; "  " &amp; Formeln!$A$112 &amp; "                     " &amp; " (" &amp; ROUNDUP($A104/6,1) &amp; " " &amp; Formeln!$A$111 &amp; ")"</f>
        <v>0  lfm                      (0 STK)</v>
      </c>
      <c r="R104" s="191"/>
      <c r="S104" s="191"/>
      <c r="T104" s="206" t="s">
        <v>48</v>
      </c>
      <c r="U104" s="49" t="s">
        <v>79</v>
      </c>
      <c r="V104" s="49" t="s">
        <v>74</v>
      </c>
      <c r="W104" s="49" t="s">
        <v>77</v>
      </c>
      <c r="X104" s="49" t="s">
        <v>75</v>
      </c>
      <c r="Y104" s="49" t="s">
        <v>84</v>
      </c>
      <c r="Z104" s="49" t="s">
        <v>78</v>
      </c>
      <c r="AA104" s="49" t="s">
        <v>82</v>
      </c>
      <c r="AB104" s="49" t="s">
        <v>83</v>
      </c>
      <c r="AC104" s="49" t="s">
        <v>370</v>
      </c>
      <c r="AD104" s="49" t="s">
        <v>81</v>
      </c>
      <c r="AE104" s="49" t="s">
        <v>76</v>
      </c>
      <c r="AF104" s="49"/>
      <c r="AG104" s="74"/>
      <c r="AH104" s="49" t="s">
        <v>48</v>
      </c>
      <c r="AI104" s="49" t="s">
        <v>79</v>
      </c>
      <c r="AJ104" s="49" t="s">
        <v>74</v>
      </c>
      <c r="AK104" s="49" t="s">
        <v>77</v>
      </c>
      <c r="AL104" s="49" t="s">
        <v>75</v>
      </c>
      <c r="AM104" s="49" t="s">
        <v>84</v>
      </c>
      <c r="AN104" s="49" t="s">
        <v>78</v>
      </c>
      <c r="AO104" s="49" t="s">
        <v>82</v>
      </c>
      <c r="AP104" s="49" t="s">
        <v>83</v>
      </c>
      <c r="AQ104" s="49" t="s">
        <v>370</v>
      </c>
      <c r="AR104" s="49" t="s">
        <v>81</v>
      </c>
      <c r="AS104" s="49" t="s">
        <v>76</v>
      </c>
      <c r="AT104" s="49"/>
      <c r="AU104" s="74"/>
      <c r="AV104" s="49" t="s">
        <v>48</v>
      </c>
      <c r="AW104" s="49" t="s">
        <v>79</v>
      </c>
      <c r="AX104" s="49" t="s">
        <v>74</v>
      </c>
      <c r="AY104" s="49" t="s">
        <v>77</v>
      </c>
      <c r="AZ104" s="49" t="s">
        <v>75</v>
      </c>
      <c r="BA104" s="49" t="s">
        <v>84</v>
      </c>
      <c r="BB104" s="49" t="s">
        <v>78</v>
      </c>
      <c r="BC104" s="49" t="s">
        <v>82</v>
      </c>
      <c r="BD104" s="49" t="s">
        <v>83</v>
      </c>
      <c r="BE104" s="49" t="s">
        <v>370</v>
      </c>
      <c r="BF104" s="49" t="s">
        <v>81</v>
      </c>
      <c r="BG104" s="49" t="s">
        <v>76</v>
      </c>
      <c r="BH104" s="49"/>
      <c r="BI104" s="74"/>
      <c r="BJ104" s="49" t="s">
        <v>48</v>
      </c>
      <c r="BK104" s="49" t="s">
        <v>79</v>
      </c>
      <c r="BL104" s="49" t="s">
        <v>74</v>
      </c>
      <c r="BM104" s="49" t="s">
        <v>77</v>
      </c>
      <c r="BN104" s="49" t="s">
        <v>75</v>
      </c>
      <c r="BO104" s="49" t="s">
        <v>84</v>
      </c>
      <c r="BP104" s="49" t="s">
        <v>78</v>
      </c>
      <c r="BQ104" s="49" t="s">
        <v>82</v>
      </c>
      <c r="BR104" s="49" t="s">
        <v>83</v>
      </c>
      <c r="BS104" s="49" t="s">
        <v>370</v>
      </c>
      <c r="BT104" s="49" t="s">
        <v>81</v>
      </c>
      <c r="BU104" s="49" t="s">
        <v>76</v>
      </c>
      <c r="BV104" s="49"/>
      <c r="BW104" s="74"/>
    </row>
    <row r="105" spans="1:89" ht="32.1" customHeight="1">
      <c r="A105" s="131"/>
      <c r="B105" s="96" t="str">
        <f>VLOOKUP("STK",Sprachindex!A:Z,Info!$O$6,FALSE)</f>
        <v>STK</v>
      </c>
      <c r="C105" s="95"/>
      <c r="D105" s="96">
        <f>IF($N$24=1,AF105,IF($N$24=2,AT105,IF($N$24=3,BH105,IF($N$24=4,BV105,0))))</f>
        <v>0</v>
      </c>
      <c r="E105" s="250" t="str">
        <f>VLOOKUP("Rinnen-Dila mit Wulst und Blende",Sprachindex!A:Z,Info!$O$6,FALSE)</f>
        <v>Rinnen-Dila mit Wulst und Blende</v>
      </c>
      <c r="F105" s="251"/>
      <c r="G105" s="251"/>
      <c r="H105" s="251"/>
      <c r="I105" s="251"/>
      <c r="J105" s="307" t="str">
        <f>Formeln!A180</f>
        <v/>
      </c>
      <c r="K105" s="308"/>
      <c r="L105" s="96" t="str">
        <f t="shared" ref="L105:L116" si="11">IF(OR(A105="",R105="",S105="")," ",IF($N$11=1,$P105,IF($N$11=2,Q105,0)))</f>
        <v xml:space="preserve"> </v>
      </c>
      <c r="M105" s="130"/>
      <c r="N105" s="87"/>
      <c r="O105" s="1"/>
      <c r="P105" s="191" t="e">
        <f>ROUNDUP($A105/$R105,0)*$R105 &amp; "  " &amp; Formeln!$A$111</f>
        <v>#VALUE!</v>
      </c>
      <c r="Q105" s="191" t="str">
        <f>ROUNDUP($A105/S105,0)*S105 &amp; "  " &amp; Formeln!$A$111</f>
        <v>0  STK</v>
      </c>
      <c r="R105" s="191" t="str">
        <f>IF($N$24=0,"",IF($N$24=5,"",6))</f>
        <v/>
      </c>
      <c r="S105" s="191">
        <v>1</v>
      </c>
      <c r="T105" s="78" t="s">
        <v>984</v>
      </c>
      <c r="U105" s="78" t="s">
        <v>985</v>
      </c>
      <c r="V105" s="78" t="s">
        <v>986</v>
      </c>
      <c r="W105" s="78" t="s">
        <v>987</v>
      </c>
      <c r="X105" s="78" t="s">
        <v>988</v>
      </c>
      <c r="Y105" s="78" t="s">
        <v>989</v>
      </c>
      <c r="Z105" s="78" t="s">
        <v>990</v>
      </c>
      <c r="AA105" s="78" t="s">
        <v>991</v>
      </c>
      <c r="AB105" s="78" t="s">
        <v>992</v>
      </c>
      <c r="AC105" s="78" t="s">
        <v>993</v>
      </c>
      <c r="AD105" s="78" t="s">
        <v>994</v>
      </c>
      <c r="AE105" s="78" t="s">
        <v>995</v>
      </c>
      <c r="AF105" s="77">
        <f>IF($N$21=1,V105,IF($N$21=2,X105,IF($N$21=3,W105,IF($N$21=4,Z105,IF($N$21=5,AA105,IF($N$21=6,U105,IF($N$21=7,AB105,IF($N$21=8,AC105,IF($N$21=9,T105,0)))))))))</f>
        <v>0</v>
      </c>
      <c r="AG105" s="77" t="s">
        <v>996</v>
      </c>
      <c r="AH105" s="78" t="s">
        <v>997</v>
      </c>
      <c r="AI105" s="78" t="s">
        <v>998</v>
      </c>
      <c r="AJ105" s="78" t="s">
        <v>999</v>
      </c>
      <c r="AK105" s="78" t="s">
        <v>1000</v>
      </c>
      <c r="AL105" s="78" t="s">
        <v>1001</v>
      </c>
      <c r="AM105" s="78" t="s">
        <v>1002</v>
      </c>
      <c r="AN105" s="78" t="s">
        <v>1003</v>
      </c>
      <c r="AO105" s="78" t="s">
        <v>1004</v>
      </c>
      <c r="AP105" s="78" t="s">
        <v>1005</v>
      </c>
      <c r="AQ105" s="78" t="s">
        <v>1006</v>
      </c>
      <c r="AR105" s="78" t="s">
        <v>1007</v>
      </c>
      <c r="AS105" s="78" t="s">
        <v>1008</v>
      </c>
      <c r="AT105" s="77">
        <f>IF($N$21=1,AJ105,IF($N$21=2,AL105,IF($N$21=3,AK105,IF($N$21=4,AN105,IF($N$21=5,AO105,IF($N$21=6,AI105,IF($N$21=7,AP105,IF($N$21=8,AQ105,IF($N$21=9,AH105,0)))))))))</f>
        <v>0</v>
      </c>
      <c r="AU105" s="77" t="s">
        <v>1009</v>
      </c>
      <c r="AV105" s="78" t="s">
        <v>1010</v>
      </c>
      <c r="AW105" s="78" t="s">
        <v>1011</v>
      </c>
      <c r="AX105" s="78" t="s">
        <v>1012</v>
      </c>
      <c r="AY105" s="78" t="s">
        <v>1013</v>
      </c>
      <c r="AZ105" s="78" t="s">
        <v>1014</v>
      </c>
      <c r="BA105" s="78" t="s">
        <v>1015</v>
      </c>
      <c r="BB105" s="78" t="s">
        <v>1016</v>
      </c>
      <c r="BC105" s="78" t="s">
        <v>1017</v>
      </c>
      <c r="BD105" s="78" t="s">
        <v>1018</v>
      </c>
      <c r="BE105" s="78" t="s">
        <v>1019</v>
      </c>
      <c r="BF105" s="78" t="s">
        <v>1020</v>
      </c>
      <c r="BG105" s="78" t="s">
        <v>1021</v>
      </c>
      <c r="BH105" s="77">
        <f>IF($N$21=1,AX105,IF($N$21=2,AZ105,IF($N$21=3,AY105,IF($N$21=4,BB105,IF($N$21=5,BC105,IF($N$21=6,AW105,IF($N$21=7,BD105,IF($N$21=8,BE105,IF($N$21=9,AV105,0)))))))))</f>
        <v>0</v>
      </c>
      <c r="BI105" s="77" t="s">
        <v>1022</v>
      </c>
      <c r="BJ105" s="78" t="s">
        <v>1023</v>
      </c>
      <c r="BK105" s="78" t="s">
        <v>1024</v>
      </c>
      <c r="BL105" s="78" t="s">
        <v>1025</v>
      </c>
      <c r="BM105" s="80"/>
      <c r="BN105" s="78" t="s">
        <v>1026</v>
      </c>
      <c r="BO105" s="78" t="s">
        <v>1027</v>
      </c>
      <c r="BP105" s="80"/>
      <c r="BQ105" s="78" t="s">
        <v>1028</v>
      </c>
      <c r="BR105" s="78"/>
      <c r="BS105" s="78" t="s">
        <v>1029</v>
      </c>
      <c r="BT105" s="78" t="s">
        <v>1030</v>
      </c>
      <c r="BU105" s="80"/>
      <c r="BV105" s="77">
        <f>IF($N$21=1,BL105,IF($N$21=2,BN105,IF($N$21=3,BM105,IF($N$21=4,BP105,IF($N$21=5,BQ105,IF($N$21=6,BK105,IF($N$21=7,BR105,IF($N$21=8,BS105,IF($N$21=9,BJ105,0)))))))))</f>
        <v>0</v>
      </c>
      <c r="BW105" s="77" t="s">
        <v>1031</v>
      </c>
    </row>
    <row r="106" spans="1:89" ht="32.1" customHeight="1">
      <c r="A106" s="131"/>
      <c r="B106" s="96" t="str">
        <f>VLOOKUP("STK",Sprachindex!A:Z,Info!$O$6,FALSE)</f>
        <v>STK</v>
      </c>
      <c r="C106" s="95"/>
      <c r="D106" s="96">
        <f>IF($N$24=1,AF106,IF($N$24=3,AT106,IF($N$24=4,BH106,0)))</f>
        <v>0</v>
      </c>
      <c r="E106" s="250" t="str">
        <f>VLOOKUP("Kastenrinnen-Dila mit Wulst und Blende",Sprachindex!A:Z,Info!$O$6,FALSE)</f>
        <v>Kastenrinnen-Dila mit Wulst und Blende</v>
      </c>
      <c r="F106" s="251"/>
      <c r="G106" s="251"/>
      <c r="H106" s="251"/>
      <c r="I106" s="251"/>
      <c r="J106" s="307" t="str">
        <f>Formeln!A186</f>
        <v/>
      </c>
      <c r="K106" s="308"/>
      <c r="L106" s="96" t="str">
        <f t="shared" si="11"/>
        <v xml:space="preserve"> </v>
      </c>
      <c r="M106" s="130"/>
      <c r="N106" s="87"/>
      <c r="O106" s="1"/>
      <c r="P106" s="191" t="e">
        <f>ROUNDUP($A106/R106,0)*R106 &amp; "  " &amp; Formeln!$A$111</f>
        <v>#VALUE!</v>
      </c>
      <c r="Q106" s="191" t="str">
        <f>ROUNDUP($A106/S106,0)*S106 &amp; "  " &amp; Formeln!$A$111</f>
        <v>0  STK</v>
      </c>
      <c r="R106" s="191" t="str">
        <f>IF($N$24=1,6,IF($N$24=3,6,IF($N$24=2,"",IF($N$24=4,6,""))))</f>
        <v/>
      </c>
      <c r="S106" s="191">
        <v>1</v>
      </c>
      <c r="T106" s="78" t="s">
        <v>1032</v>
      </c>
      <c r="U106" s="78" t="s">
        <v>1033</v>
      </c>
      <c r="V106" s="78" t="s">
        <v>1034</v>
      </c>
      <c r="W106" s="81"/>
      <c r="X106" s="78" t="s">
        <v>1035</v>
      </c>
      <c r="Y106" s="78" t="s">
        <v>1036</v>
      </c>
      <c r="AC106" s="78" t="s">
        <v>1037</v>
      </c>
      <c r="AE106" s="71"/>
      <c r="AF106" s="77">
        <f>IF($N$21=1,V106,IF($N$21=2,X106,IF($N$21=3,W106,IF($N$21=4,Z106,IF($N$21=5,AA106,IF($N$21=6,U106,IF($N$21=7,AB106,IF($N$21=8,AC106,IF($N$21=9,T106,0)))))))))</f>
        <v>0</v>
      </c>
      <c r="AG106" s="77" t="s">
        <v>996</v>
      </c>
      <c r="AH106" s="78" t="s">
        <v>1038</v>
      </c>
      <c r="AI106" s="78" t="s">
        <v>1039</v>
      </c>
      <c r="AJ106" s="78" t="s">
        <v>1040</v>
      </c>
      <c r="AK106" s="78" t="s">
        <v>1041</v>
      </c>
      <c r="AL106" s="78" t="s">
        <v>1042</v>
      </c>
      <c r="AM106" s="78" t="s">
        <v>1043</v>
      </c>
      <c r="AN106" s="78" t="s">
        <v>1044</v>
      </c>
      <c r="AO106" s="78" t="s">
        <v>1045</v>
      </c>
      <c r="AP106" s="78" t="s">
        <v>1046</v>
      </c>
      <c r="AQ106" s="78" t="s">
        <v>1047</v>
      </c>
      <c r="AR106" s="78" t="s">
        <v>1048</v>
      </c>
      <c r="AS106" s="78" t="s">
        <v>1049</v>
      </c>
      <c r="AT106" s="77">
        <f>IF($N$21=1,AJ106,IF($N$21=2,AL106,IF($N$21=3,AK106,IF($N$21=4,AN106,IF($N$21=5,AO106,IF($N$21=6,AI106,IF($N$21=7,AP106,IF($N$21=8,AQ106,IF($N$21=9,AH106,0)))))))))</f>
        <v>0</v>
      </c>
      <c r="AU106" s="77" t="s">
        <v>1022</v>
      </c>
      <c r="AV106" s="78" t="s">
        <v>1050</v>
      </c>
      <c r="AW106" s="78" t="s">
        <v>1051</v>
      </c>
      <c r="AX106" s="78" t="s">
        <v>1052</v>
      </c>
      <c r="AY106" s="80"/>
      <c r="AZ106" s="78" t="s">
        <v>1053</v>
      </c>
      <c r="BA106" s="78" t="s">
        <v>1054</v>
      </c>
      <c r="BB106" s="80"/>
      <c r="BC106" s="78" t="s">
        <v>1055</v>
      </c>
      <c r="BD106" s="80"/>
      <c r="BE106" s="78" t="s">
        <v>1056</v>
      </c>
      <c r="BF106" s="78" t="s">
        <v>1057</v>
      </c>
      <c r="BG106" s="80"/>
      <c r="BH106" s="77">
        <f>IF($N$21=1,AX106,IF($N$21=2,AZ106,IF($N$21=3,AY106,IF($N$21=4,BB106,IF($N$21=5,BC106,IF($N$21=6,AW106,IF($N$21=7,BD106,IF($N$21=8,BE106,IF($N$21=9,AV106,0)))))))))</f>
        <v>0</v>
      </c>
      <c r="BI106" s="77" t="s">
        <v>1031</v>
      </c>
    </row>
    <row r="107" spans="1:89" ht="32.1" customHeight="1">
      <c r="A107" s="131"/>
      <c r="B107" s="96" t="str">
        <f>VLOOKUP("STK",Sprachindex!A:Z,Info!$O$6,FALSE)</f>
        <v>STK</v>
      </c>
      <c r="C107" s="95"/>
      <c r="D107" s="96">
        <f>IF($N$24=1,AF107,IF($N$24=2,AT107,IF($N$24=3,BH107,IF($N$24=4,BV107,0))))</f>
        <v>0</v>
      </c>
      <c r="E107" s="250" t="str">
        <f>VLOOKUP("Rinnen-Dila ohne Wulst und Blende    ",Sprachindex!A:Z,Info!$O$6,FALSE)</f>
        <v xml:space="preserve">Rinnen-Dila ohne Wulst und Blende    </v>
      </c>
      <c r="F107" s="251"/>
      <c r="G107" s="251"/>
      <c r="H107" s="251"/>
      <c r="I107" s="251"/>
      <c r="J107" s="307" t="str">
        <f>Formeln!A180</f>
        <v/>
      </c>
      <c r="K107" s="308"/>
      <c r="L107" s="96" t="str">
        <f t="shared" si="11"/>
        <v xml:space="preserve"> </v>
      </c>
      <c r="M107" s="130"/>
      <c r="N107" s="87"/>
      <c r="O107" s="1"/>
      <c r="P107" s="191" t="e">
        <f>ROUNDUP($A107/R107,0)*R107 &amp; "  " &amp; Formeln!$A$111</f>
        <v>#VALUE!</v>
      </c>
      <c r="Q107" s="191" t="str">
        <f>ROUNDUP($A107/S107,0)*S107 &amp; "  " &amp; Formeln!$A$111</f>
        <v>0  STK</v>
      </c>
      <c r="R107" s="191" t="str">
        <f>IF($N$24=0,"",IF($N$24=5,"",6))</f>
        <v/>
      </c>
      <c r="S107" s="191">
        <v>1</v>
      </c>
      <c r="T107" s="64" t="s">
        <v>1058</v>
      </c>
      <c r="AE107" s="71"/>
      <c r="AF107" s="76" t="str">
        <f>T107</f>
        <v>547102</v>
      </c>
      <c r="AG107" s="77" t="s">
        <v>1059</v>
      </c>
      <c r="AH107" s="64" t="s">
        <v>1060</v>
      </c>
      <c r="AS107" s="71"/>
      <c r="AT107" s="76" t="str">
        <f>AH107</f>
        <v>547101</v>
      </c>
      <c r="AU107" s="77" t="s">
        <v>1061</v>
      </c>
      <c r="AV107" s="64" t="s">
        <v>1062</v>
      </c>
      <c r="BG107" s="80"/>
      <c r="BH107" s="76" t="str">
        <f>AV107</f>
        <v>547100</v>
      </c>
      <c r="BI107" s="77" t="s">
        <v>1063</v>
      </c>
      <c r="BJ107" s="64" t="s">
        <v>1064</v>
      </c>
      <c r="BU107" s="80"/>
      <c r="BV107" s="79" t="str">
        <f>BJ107</f>
        <v>547103</v>
      </c>
      <c r="BW107" s="77" t="s">
        <v>1065</v>
      </c>
    </row>
    <row r="108" spans="1:89" ht="32.1" customHeight="1">
      <c r="A108" s="131"/>
      <c r="B108" s="96" t="str">
        <f>VLOOKUP("STK",Sprachindex!A:Z,Info!$O$6,FALSE)</f>
        <v>STK</v>
      </c>
      <c r="C108" s="95"/>
      <c r="D108" s="96">
        <f>IF($N$24=1,AF108,IF($N$24=3,AT108,IF($N$24=4,BH108,0)))</f>
        <v>0</v>
      </c>
      <c r="E108" s="250" t="str">
        <f>VLOOKUP("Kastenrinnen-Dila ohne Wulst und Blende",Sprachindex!A:Z,Info!$O$6,FALSE)</f>
        <v>Kastenrinnen-Dila ohne Wulst und Blende</v>
      </c>
      <c r="F108" s="251"/>
      <c r="G108" s="251"/>
      <c r="H108" s="251"/>
      <c r="I108" s="251"/>
      <c r="J108" s="307" t="str">
        <f>Formeln!A186</f>
        <v/>
      </c>
      <c r="K108" s="308"/>
      <c r="L108" s="96" t="str">
        <f t="shared" si="11"/>
        <v xml:space="preserve"> </v>
      </c>
      <c r="M108" s="130"/>
      <c r="N108" s="87"/>
      <c r="O108" s="1"/>
      <c r="P108" s="191" t="e">
        <f>ROUNDUP($A108/R108,0)*R108 &amp; "  " &amp; Formeln!$A$111</f>
        <v>#VALUE!</v>
      </c>
      <c r="Q108" s="191" t="str">
        <f>ROUNDUP($A108/S108,0)*S108 &amp; "  " &amp; Formeln!$A$111</f>
        <v>0  STK</v>
      </c>
      <c r="R108" s="191" t="str">
        <f>IF($N$24=1,6,IF($N$24=2,"",IF($N$24=3,6,IF($N$24=4,6,""))))</f>
        <v/>
      </c>
      <c r="S108" s="191">
        <v>1</v>
      </c>
      <c r="T108" s="64" t="s">
        <v>1066</v>
      </c>
      <c r="AE108" s="71"/>
      <c r="AF108" s="76" t="str">
        <f>T108</f>
        <v>547106</v>
      </c>
      <c r="AG108" s="77" t="s">
        <v>1059</v>
      </c>
      <c r="AH108" s="64" t="s">
        <v>1067</v>
      </c>
      <c r="AS108" s="80"/>
      <c r="AT108" s="76" t="str">
        <f>AH108</f>
        <v>547105</v>
      </c>
      <c r="AU108" s="77" t="s">
        <v>1063</v>
      </c>
      <c r="AV108" s="64" t="s">
        <v>1068</v>
      </c>
      <c r="BG108" s="80"/>
      <c r="BH108" s="76" t="str">
        <f>AV108</f>
        <v>547104</v>
      </c>
      <c r="BI108" s="77" t="s">
        <v>1065</v>
      </c>
    </row>
    <row r="109" spans="1:89" ht="32.1" customHeight="1">
      <c r="A109" s="131"/>
      <c r="B109" s="96" t="str">
        <f>VLOOKUP("STK",Sprachindex!A:Z,Info!$O$6,FALSE)</f>
        <v>STK</v>
      </c>
      <c r="C109" s="95"/>
      <c r="D109" s="95">
        <f>AF109</f>
        <v>0</v>
      </c>
      <c r="E109" s="250" t="str">
        <f>VLOOKUP("Ausbesserungslack",Sprachindex!A:Z,Info!$O$6,FALSE)</f>
        <v>Ausbesserungslack</v>
      </c>
      <c r="F109" s="251"/>
      <c r="G109" s="251"/>
      <c r="H109" s="251"/>
      <c r="I109" s="251"/>
      <c r="J109" s="307" t="str">
        <f>VLOOKUP("12 ml",Sprachindex!A:Z,Info!$O$6,FALSE)</f>
        <v>12 ml</v>
      </c>
      <c r="K109" s="308"/>
      <c r="L109" s="96" t="str">
        <f t="shared" ref="L109" si="12">IF(OR(A109="",R109="",S109="")," ",IF($N$11=1,$P109,IF($N$11=2,Q109,0)))</f>
        <v xml:space="preserve"> </v>
      </c>
      <c r="M109" s="130"/>
      <c r="N109" s="87"/>
      <c r="O109" s="1"/>
      <c r="P109" s="191" t="str">
        <f>ROUNDUP($A109/R109,0)*R109 &amp; "  " &amp; Formeln!$A$111</f>
        <v>0  STK</v>
      </c>
      <c r="Q109" s="191" t="str">
        <f>ROUNDUP($A109/S109,0)*S109 &amp; "  " &amp; Formeln!$A$111</f>
        <v>0  STK</v>
      </c>
      <c r="R109" s="191">
        <v>1</v>
      </c>
      <c r="S109" s="191">
        <v>1</v>
      </c>
      <c r="T109" s="64"/>
      <c r="U109" s="64" t="s">
        <v>1069</v>
      </c>
      <c r="V109" s="64" t="s">
        <v>1070</v>
      </c>
      <c r="W109" s="64"/>
      <c r="X109" s="64">
        <v>430150</v>
      </c>
      <c r="Y109" s="64"/>
      <c r="Z109" s="64" t="s">
        <v>1071</v>
      </c>
      <c r="AA109" s="64" t="s">
        <v>1072</v>
      </c>
      <c r="AB109" s="64"/>
      <c r="AC109" s="64"/>
      <c r="AD109" s="64"/>
      <c r="AE109" s="71"/>
      <c r="AF109" s="74">
        <f t="shared" ref="AF109" si="13">IF($N$21=1,V109,IF($N$21=2,X109,IF($N$21=3,W109,IF($N$21=4,Z109,IF($N$21=5,AA109,IF($N$21=6,U109,IF($N$21=7,AB109,IF($N$21=8,AC109,IF($N$21=9,T109,0)))))))))</f>
        <v>0</v>
      </c>
      <c r="AG109" s="77"/>
      <c r="AH109" s="64"/>
      <c r="AS109" s="80"/>
      <c r="AT109" s="76"/>
      <c r="AU109" s="77"/>
      <c r="AV109" s="64"/>
      <c r="BG109" s="80"/>
      <c r="BH109" s="76"/>
      <c r="BI109" s="77"/>
    </row>
    <row r="110" spans="1:89" ht="32.1" customHeight="1">
      <c r="A110" s="131"/>
      <c r="B110" s="96" t="str">
        <f>VLOOKUP("STK",Sprachindex!A:Z,Info!$O$6,FALSE)</f>
        <v>STK</v>
      </c>
      <c r="C110" s="95"/>
      <c r="D110" s="95">
        <f>AF110</f>
        <v>0</v>
      </c>
      <c r="E110" s="250" t="str">
        <f>VLOOKUP("Ausbesserungsstift",Sprachindex!A:Z,Info!$O$6,FALSE)</f>
        <v>Ausbesserungsstift</v>
      </c>
      <c r="F110" s="251"/>
      <c r="G110" s="251"/>
      <c r="H110" s="251"/>
      <c r="I110" s="251"/>
      <c r="J110" s="307" t="str">
        <f>VLOOKUP("11 ml",Sprachindex!A:Z,Info!$O$6,FALSE)</f>
        <v>11 ml</v>
      </c>
      <c r="K110" s="308"/>
      <c r="L110" s="96" t="str">
        <f t="shared" ref="L110" si="14">IF(OR(A110="",R110="",S110="")," ",IF($N$11=1,$P110,IF($N$11=2,Q110,0)))</f>
        <v xml:space="preserve"> </v>
      </c>
      <c r="M110" s="130"/>
      <c r="N110" s="87"/>
      <c r="O110" s="1"/>
      <c r="P110" s="191" t="str">
        <f>ROUNDUP($A110/R110,0)*R110 &amp; "  " &amp; Formeln!$A$111</f>
        <v>0  STK</v>
      </c>
      <c r="Q110" s="191" t="str">
        <f>ROUNDUP($A110/S110,0)*S110 &amp; "  " &amp; Formeln!$A$111</f>
        <v>0  STK</v>
      </c>
      <c r="R110" s="191">
        <v>1</v>
      </c>
      <c r="S110" s="191">
        <v>1</v>
      </c>
      <c r="T110" s="64"/>
      <c r="U110" s="64" t="s">
        <v>1073</v>
      </c>
      <c r="V110" s="64" t="s">
        <v>1074</v>
      </c>
      <c r="W110" s="64"/>
      <c r="X110" s="64" t="s">
        <v>1075</v>
      </c>
      <c r="Y110" s="64"/>
      <c r="Z110" s="64" t="s">
        <v>1076</v>
      </c>
      <c r="AA110" s="64"/>
      <c r="AB110" s="64"/>
      <c r="AC110" s="64" t="s">
        <v>1077</v>
      </c>
      <c r="AD110" s="64"/>
      <c r="AE110" s="71"/>
      <c r="AF110" s="74">
        <f t="shared" ref="AF110" si="15">IF($N$21=1,V110,IF($N$21=2,X110,IF($N$21=3,W110,IF($N$21=4,Z110,IF($N$21=5,AA110,IF($N$21=6,U110,IF($N$21=7,AB110,IF($N$21=8,AC110,IF($N$21=9,T110,0)))))))))</f>
        <v>0</v>
      </c>
      <c r="AG110" s="77"/>
      <c r="AH110" s="64"/>
      <c r="AS110" s="80"/>
      <c r="AT110" s="76"/>
      <c r="AU110" s="77"/>
      <c r="AV110" s="64"/>
      <c r="BG110" s="80"/>
      <c r="BH110" s="76"/>
      <c r="BI110" s="77"/>
    </row>
    <row r="111" spans="1:89" ht="32.1" customHeight="1">
      <c r="A111" s="131"/>
      <c r="B111" s="96" t="str">
        <f>VLOOKUP("STK",Sprachindex!A:Z,Info!$O$6,FALSE)</f>
        <v>STK</v>
      </c>
      <c r="C111" s="95"/>
      <c r="D111" s="95">
        <v>425002</v>
      </c>
      <c r="E111" s="250" t="str">
        <f>VLOOKUP("Aluminium-Lötstäbe",Sprachindex!A:Z,Info!$O$6,FALSE)</f>
        <v>Aluminium-Lötstäbe</v>
      </c>
      <c r="F111" s="251"/>
      <c r="G111" s="251"/>
      <c r="H111" s="251"/>
      <c r="I111" s="251"/>
      <c r="J111" s="307" t="str">
        <f>VLOOKUP("250 g",Sprachindex!A:Z,Info!$O$6,FALSE)</f>
        <v>250 g</v>
      </c>
      <c r="K111" s="308"/>
      <c r="L111" s="96" t="str">
        <f t="shared" si="11"/>
        <v xml:space="preserve"> </v>
      </c>
      <c r="M111" s="130"/>
      <c r="N111" s="87"/>
      <c r="O111" s="1"/>
      <c r="P111" s="191" t="str">
        <f>ROUNDUP($A111/R111,0)*R111 &amp; "  " &amp; Formeln!$A$111</f>
        <v>0  STK</v>
      </c>
      <c r="Q111" s="191" t="str">
        <f>ROUNDUP($A111/S111,0)*S111 &amp; "  " &amp; Formeln!$A$111</f>
        <v>0  STK</v>
      </c>
      <c r="R111" s="191">
        <v>1</v>
      </c>
      <c r="S111" s="191">
        <v>1</v>
      </c>
    </row>
    <row r="112" spans="1:89" ht="32.1" customHeight="1">
      <c r="A112" s="118"/>
      <c r="B112" s="96" t="str">
        <f>VLOOKUP("STK",Sprachindex!A:Z,Info!$O$6,FALSE)</f>
        <v>STK</v>
      </c>
      <c r="C112" s="95"/>
      <c r="D112" s="95">
        <v>420006</v>
      </c>
      <c r="E112" s="250" t="str">
        <f>VLOOKUP("Spezialsilikon",Sprachindex!A:Z,Info!$O$6,FALSE)</f>
        <v>Spezialsilikon</v>
      </c>
      <c r="F112" s="251"/>
      <c r="G112" s="251"/>
      <c r="H112" s="251"/>
      <c r="I112" s="251"/>
      <c r="J112" s="307" t="str">
        <f>VLOOKUP("300 ml",Sprachindex!A:Z,Info!$O$6,FALSE)</f>
        <v>300 ml</v>
      </c>
      <c r="K112" s="308"/>
      <c r="L112" s="96" t="str">
        <f t="shared" si="11"/>
        <v xml:space="preserve"> </v>
      </c>
      <c r="M112" s="130"/>
      <c r="N112" s="87"/>
      <c r="O112" s="1"/>
      <c r="P112" s="191" t="str">
        <f>ROUNDUP($A112/R112,0)*R112 &amp; "  " &amp; Formeln!$A$111</f>
        <v>0  STK</v>
      </c>
      <c r="Q112" s="191" t="str">
        <f>ROUNDUP($A112/S112,0)*S112 &amp; "  " &amp; Formeln!$A$111</f>
        <v>0  STK</v>
      </c>
      <c r="R112" s="191">
        <v>1</v>
      </c>
      <c r="S112" s="191">
        <v>1</v>
      </c>
    </row>
    <row r="113" spans="1:39" ht="32.1" customHeight="1">
      <c r="A113" s="126"/>
      <c r="B113" s="96" t="str">
        <f>VLOOKUP("Stk",Sprachindex!A:Z,Info!$O$6,FALSE)</f>
        <v>STK</v>
      </c>
      <c r="C113" s="95"/>
      <c r="D113" s="95">
        <v>420501</v>
      </c>
      <c r="E113" s="250" t="str">
        <f>VLOOKUP("Spezialkleber",Sprachindex!A:Z,Info!$O$6,FALSE)</f>
        <v>Spezialkleber</v>
      </c>
      <c r="F113" s="251"/>
      <c r="G113" s="251"/>
      <c r="H113" s="251"/>
      <c r="I113" s="251"/>
      <c r="J113" s="307"/>
      <c r="K113" s="308"/>
      <c r="L113" s="96" t="str">
        <f t="shared" si="11"/>
        <v xml:space="preserve"> </v>
      </c>
      <c r="M113" s="130"/>
      <c r="O113" s="171"/>
      <c r="P113" s="191" t="str">
        <f>ROUNDUP($A113,0) &amp;" " &amp; Formeln!$A$111</f>
        <v>0 STK</v>
      </c>
      <c r="Q113" s="191" t="str">
        <f>ROUNDUP($A113,0) &amp;" " &amp; Formeln!$A$111</f>
        <v>0 STK</v>
      </c>
      <c r="R113" s="192"/>
    </row>
    <row r="114" spans="1:39" ht="32.1" customHeight="1">
      <c r="A114" s="118"/>
      <c r="B114" s="96" t="str">
        <f>VLOOKUP("Set",Sprachindex!A:Z,Info!$O$6,FALSE)</f>
        <v>Set</v>
      </c>
      <c r="C114" s="98"/>
      <c r="D114" s="95">
        <v>420500</v>
      </c>
      <c r="E114" s="250" t="str">
        <f>VLOOKUP("Spezialkleber-Set",Sprachindex!A:Z,Info!$O$6,FALSE)</f>
        <v>Spezialkleber-Set</v>
      </c>
      <c r="F114" s="251"/>
      <c r="G114" s="251"/>
      <c r="H114" s="251"/>
      <c r="I114" s="251"/>
      <c r="J114" s="307"/>
      <c r="K114" s="308"/>
      <c r="L114" s="96" t="str">
        <f t="shared" si="11"/>
        <v xml:space="preserve"> </v>
      </c>
      <c r="M114" s="130"/>
      <c r="O114" s="171"/>
      <c r="P114" s="191" t="str">
        <f>ROUNDUP($A114,0) &amp;" " &amp; IF($A114&lt;=1,Formeln!$A$119,IF($A114&gt;1,Formeln!$A$120,""))</f>
        <v>0 Set</v>
      </c>
      <c r="Q114" s="191" t="str">
        <f>ROUNDUP($A114,0) &amp;" " &amp; IF($A114&lt;=1,Formeln!$A$119,IF($A114&gt;1,Formeln!$A$120,""))</f>
        <v>0 Set</v>
      </c>
      <c r="R114" s="187"/>
      <c r="T114" s="49" t="s">
        <v>29</v>
      </c>
      <c r="U114" s="49" t="s">
        <v>30</v>
      </c>
      <c r="V114" s="49" t="s">
        <v>31</v>
      </c>
      <c r="W114" s="49" t="s">
        <v>32</v>
      </c>
      <c r="X114" s="49" t="s">
        <v>33</v>
      </c>
      <c r="Y114" s="49" t="s">
        <v>34</v>
      </c>
      <c r="Z114" s="49" t="s">
        <v>35</v>
      </c>
      <c r="AA114" s="49" t="s">
        <v>36</v>
      </c>
      <c r="AB114" s="49" t="s">
        <v>37</v>
      </c>
      <c r="AC114" s="49" t="s">
        <v>38</v>
      </c>
      <c r="AD114" s="49" t="s">
        <v>29</v>
      </c>
      <c r="AE114" s="49" t="s">
        <v>30</v>
      </c>
      <c r="AF114" s="49" t="s">
        <v>31</v>
      </c>
      <c r="AG114" s="49" t="s">
        <v>32</v>
      </c>
      <c r="AH114" s="49" t="s">
        <v>33</v>
      </c>
      <c r="AI114" s="49" t="s">
        <v>34</v>
      </c>
      <c r="AJ114" s="49" t="s">
        <v>35</v>
      </c>
      <c r="AK114" s="49" t="s">
        <v>36</v>
      </c>
      <c r="AL114" s="49" t="s">
        <v>37</v>
      </c>
      <c r="AM114" s="49" t="s">
        <v>38</v>
      </c>
    </row>
    <row r="115" spans="1:39" ht="32.1" customHeight="1">
      <c r="A115" s="118"/>
      <c r="B115" s="96" t="str">
        <f>VLOOKUP("STK",Sprachindex!A:Z,Info!$O$6,FALSE)</f>
        <v>STK</v>
      </c>
      <c r="C115" s="95"/>
      <c r="D115" s="95">
        <v>420028</v>
      </c>
      <c r="E115" s="250" t="str">
        <f>VLOOKUP("Rinnenwulstöffner",Sprachindex!A:Z,Info!$O$6,FALSE)</f>
        <v>Rinnenwulstöffner</v>
      </c>
      <c r="F115" s="251"/>
      <c r="G115" s="251"/>
      <c r="H115" s="251"/>
      <c r="I115" s="251"/>
      <c r="J115" s="307"/>
      <c r="K115" s="308"/>
      <c r="L115" s="96" t="str">
        <f t="shared" si="11"/>
        <v xml:space="preserve"> </v>
      </c>
      <c r="M115" s="130"/>
      <c r="N115" s="87"/>
      <c r="O115" s="1"/>
      <c r="P115" s="191" t="str">
        <f>ROUNDUP($A115/R115,0)*R115 &amp; "  " &amp; Formeln!$A$111</f>
        <v>0  STK</v>
      </c>
      <c r="Q115" s="191" t="str">
        <f>ROUNDUP($A115/S115,0)*S115 &amp; "  " &amp; Formeln!$A$111</f>
        <v>0  STK</v>
      </c>
      <c r="R115" s="191">
        <v>1</v>
      </c>
      <c r="S115" s="191">
        <v>1</v>
      </c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</row>
    <row r="116" spans="1:39" ht="32.1" customHeight="1">
      <c r="A116" s="118"/>
      <c r="B116" s="96" t="str">
        <f>VLOOKUP("STK",Sprachindex!A:Z,Info!$O$6,FALSE)</f>
        <v>STK</v>
      </c>
      <c r="C116" s="95"/>
      <c r="D116" s="95">
        <v>420546</v>
      </c>
      <c r="E116" s="250" t="str">
        <f>VLOOKUP("Leitersicherung",Sprachindex!A:Z,Info!$O$6,FALSE)</f>
        <v>Leitersicherung</v>
      </c>
      <c r="F116" s="251"/>
      <c r="G116" s="251"/>
      <c r="H116" s="251"/>
      <c r="I116" s="251"/>
      <c r="J116" s="307"/>
      <c r="K116" s="308"/>
      <c r="L116" s="96" t="str">
        <f t="shared" si="11"/>
        <v xml:space="preserve"> </v>
      </c>
      <c r="M116" s="130"/>
      <c r="N116" s="87"/>
      <c r="O116" s="1"/>
      <c r="P116" s="208" t="str">
        <f>ROUNDUP($A116/R116,0)*R116 &amp; "  " &amp; Formeln!$A$111</f>
        <v>0  STK</v>
      </c>
      <c r="Q116" s="208" t="str">
        <f>ROUNDUP($A116/S116,0)*S116 &amp; "  " &amp; Formeln!$A$111</f>
        <v>0  STK</v>
      </c>
      <c r="R116" s="208">
        <v>1</v>
      </c>
      <c r="S116" s="208">
        <v>1</v>
      </c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</row>
    <row r="117" spans="1:39" ht="32.1" customHeight="1">
      <c r="A117" s="201"/>
      <c r="B117" s="196"/>
      <c r="C117" s="196"/>
      <c r="D117" s="196"/>
      <c r="E117" s="268"/>
      <c r="F117" s="269"/>
      <c r="G117" s="269"/>
      <c r="H117" s="269"/>
      <c r="I117" s="269"/>
      <c r="J117" s="269"/>
      <c r="K117" s="270"/>
      <c r="L117" s="196"/>
      <c r="M117" s="197"/>
      <c r="N117" s="87"/>
      <c r="O117" s="1"/>
      <c r="P117" s="8"/>
      <c r="Q117" s="8"/>
    </row>
    <row r="118" spans="1:39" ht="32.1" customHeight="1">
      <c r="A118" s="202"/>
      <c r="B118" s="196"/>
      <c r="C118" s="196"/>
      <c r="D118" s="196"/>
      <c r="E118" s="268"/>
      <c r="F118" s="269"/>
      <c r="G118" s="269"/>
      <c r="H118" s="269"/>
      <c r="I118" s="269"/>
      <c r="J118" s="269"/>
      <c r="K118" s="270"/>
      <c r="L118" s="196"/>
      <c r="M118" s="197"/>
      <c r="N118" s="87"/>
      <c r="O118" s="1"/>
      <c r="P118" s="8"/>
      <c r="Q118" s="8"/>
    </row>
    <row r="119" spans="1:39" ht="32.1" customHeight="1" thickBot="1">
      <c r="A119" s="198"/>
      <c r="B119" s="199"/>
      <c r="C119" s="199"/>
      <c r="D119" s="199"/>
      <c r="E119" s="271"/>
      <c r="F119" s="272"/>
      <c r="G119" s="272"/>
      <c r="H119" s="272"/>
      <c r="I119" s="272"/>
      <c r="J119" s="272"/>
      <c r="K119" s="273"/>
      <c r="L119" s="196"/>
      <c r="M119" s="200"/>
      <c r="N119" s="87"/>
      <c r="O119" s="1"/>
      <c r="P119" s="8"/>
      <c r="Q119" s="8"/>
    </row>
    <row r="120" spans="1:39" ht="15" customHeight="1">
      <c r="A120" s="86"/>
      <c r="B120" s="86"/>
      <c r="C120" s="8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87"/>
    </row>
    <row r="121" spans="1:39" ht="17.399999999999999">
      <c r="A121" s="86"/>
      <c r="B121" s="86"/>
      <c r="C121" s="108" t="str">
        <f>VLOOKUP("Zusatzvermerk:",Sprachindex!A:Z,Info!$O$6,FALSE)</f>
        <v>Zusatzvermerk:</v>
      </c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87"/>
    </row>
    <row r="122" spans="1:39" ht="17.399999999999999">
      <c r="A122" s="86"/>
      <c r="B122" s="86"/>
      <c r="C122" s="86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87"/>
    </row>
    <row r="123" spans="1:39" ht="17.399999999999999">
      <c r="A123" s="86"/>
      <c r="B123" s="86"/>
      <c r="C123" s="86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87"/>
    </row>
    <row r="124" spans="1:39" ht="17.399999999999999">
      <c r="A124" s="86"/>
      <c r="B124" s="86"/>
      <c r="C124" s="86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87"/>
    </row>
    <row r="125" spans="1:39" ht="17.399999999999999">
      <c r="A125" s="86"/>
      <c r="B125" s="86"/>
      <c r="C125" s="86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87"/>
    </row>
    <row r="126" spans="1:39" ht="17.399999999999999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7"/>
    </row>
    <row r="127" spans="1:39" ht="17.399999999999999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7"/>
    </row>
    <row r="128" spans="1:39" ht="17.399999999999999">
      <c r="A128" s="109" t="str">
        <f>VLOOKUP("Anwendungstechnik",Sprachindex!A:Z,Info!$O$6,FALSE)</f>
        <v>Anwendungstechnik</v>
      </c>
      <c r="B128" s="110"/>
      <c r="C128" s="110"/>
      <c r="D128" s="264"/>
      <c r="E128" s="264"/>
      <c r="F128" s="264"/>
      <c r="G128" s="264"/>
      <c r="H128" s="264"/>
      <c r="I128" s="264"/>
      <c r="J128" s="264"/>
      <c r="K128" s="111" t="str">
        <f>VLOOKUP("Stand:",Sprachindex!A:Z,Info!$O$6,FALSE)</f>
        <v>Stand:</v>
      </c>
      <c r="L128" s="277">
        <v>44546</v>
      </c>
      <c r="M128" s="278"/>
      <c r="N128" s="87"/>
    </row>
    <row r="129" spans="1:14" ht="17.399999999999999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7"/>
    </row>
  </sheetData>
  <sheetProtection password="8D71" sheet="1" objects="1" scenarios="1" selectLockedCells="1" autoFilter="0"/>
  <protectedRanges>
    <protectedRange password="DEBF" sqref="P117:Q119" name="darf vom Benutzer nicht verändert werden_1_5"/>
    <protectedRange password="DEBF" sqref="P18" name="darf vom Benutzer nicht verändert werden_1_5_3"/>
    <protectedRange password="DEBF" sqref="S36:S37 R36:R41 R43:R45" name="darf vom Benutzer nicht verändert werden_1_12_1"/>
    <protectedRange password="DEBF" sqref="P36:Q37" name="darf vom Benutzer nicht verändert werden_1_2_2_1"/>
    <protectedRange password="DEBF" sqref="P38:P39 Q39 P40:Q41 P43:Q49" name="darf vom Benutzer nicht verändert werden_1_2_3"/>
    <protectedRange password="DEBF" sqref="Q38" name="darf vom Benutzer nicht verändert werden_1_2_4"/>
    <protectedRange password="DEBF" sqref="R42" name="darf vom Benutzer nicht verändert werden_1_12_3"/>
    <protectedRange password="DEBF" sqref="P42:Q42" name="darf vom Benutzer nicht verändert werden_1_2_3_5"/>
    <protectedRange password="DEBF" sqref="P50:Q50" name="darf vom Benutzer nicht verändert werden_1_5_1"/>
    <protectedRange password="DEBF" sqref="P51:Q51" name="darf vom Benutzer nicht verändert werden_1_5_5"/>
    <protectedRange password="DEBF" sqref="P52:Q52" name="darf vom Benutzer nicht verändert werden_1_2_3_1"/>
    <protectedRange password="DEBF" sqref="R53:S54" name="darf vom Benutzer nicht verändert werden_1_12"/>
    <protectedRange password="DEBF" sqref="P53:Q54" name="darf vom Benutzer nicht verändert werden_1_2_2"/>
    <protectedRange password="DEBF" sqref="P55:Q55" name="darf vom Benutzer nicht verändert werden_1_2_3_2"/>
    <protectedRange password="DEBF" sqref="P56:Q59" name="darf vom Benutzer nicht verändert werden_1_2_3_3"/>
    <protectedRange password="DEBF" sqref="P63:Q63" name="darf vom Benutzer nicht verändert werden_1_2_2_2"/>
    <protectedRange password="DEBF" sqref="P60:Q62 P64:Q70 P93:Q93" name="darf vom Benutzer nicht verändert werden_1_2_3_4"/>
    <protectedRange password="DEBF" sqref="P71:Q77 P79:Q92 P94:Q97" name="darf vom Benutzer nicht verändert werden_1_2_1"/>
    <protectedRange password="DEBF" sqref="P78:Q78" name="darf vom Benutzer nicht verändert werden_1_2_6"/>
    <protectedRange password="DEBF" sqref="R78" name="darf vom Benutzer nicht verändert werden_1_12_1_1"/>
    <protectedRange password="DEBF" sqref="P104:Q104" name="darf vom Benutzer nicht verändert werden_1_2_3_6"/>
    <protectedRange password="DEBF" sqref="P98:Q103 P115:Q116 P105:Q112" name="darf vom Benutzer nicht verändert werden_1_2_1_1"/>
    <protectedRange password="DEBF" sqref="P113:Q114" name="darf vom Benutzer nicht verändert werden_1_5_4"/>
  </protectedRanges>
  <autoFilter ref="A34:A119" xr:uid="{00000000-0009-0000-0000-000009000000}"/>
  <mergeCells count="196">
    <mergeCell ref="D124:M125"/>
    <mergeCell ref="D122:M123"/>
    <mergeCell ref="D120:M121"/>
    <mergeCell ref="E111:I111"/>
    <mergeCell ref="E108:I108"/>
    <mergeCell ref="E107:I107"/>
    <mergeCell ref="E45:I45"/>
    <mergeCell ref="L128:M128"/>
    <mergeCell ref="E100:I100"/>
    <mergeCell ref="E98:I98"/>
    <mergeCell ref="J112:K112"/>
    <mergeCell ref="E112:I112"/>
    <mergeCell ref="E118:K118"/>
    <mergeCell ref="E117:K117"/>
    <mergeCell ref="D128:J128"/>
    <mergeCell ref="E119:K119"/>
    <mergeCell ref="J102:K102"/>
    <mergeCell ref="J103:K103"/>
    <mergeCell ref="J104:K104"/>
    <mergeCell ref="J105:K105"/>
    <mergeCell ref="J106:K106"/>
    <mergeCell ref="E106:I106"/>
    <mergeCell ref="J99:K99"/>
    <mergeCell ref="J86:K86"/>
    <mergeCell ref="J88:K88"/>
    <mergeCell ref="J89:K89"/>
    <mergeCell ref="J90:K90"/>
    <mergeCell ref="J91:K91"/>
    <mergeCell ref="J92:K92"/>
    <mergeCell ref="J96:K96"/>
    <mergeCell ref="J94:K94"/>
    <mergeCell ref="J95:K95"/>
    <mergeCell ref="J93:K93"/>
    <mergeCell ref="E115:I115"/>
    <mergeCell ref="E116:I116"/>
    <mergeCell ref="J107:K107"/>
    <mergeCell ref="J108:K108"/>
    <mergeCell ref="J111:K111"/>
    <mergeCell ref="J100:K100"/>
    <mergeCell ref="J101:K101"/>
    <mergeCell ref="E105:I105"/>
    <mergeCell ref="E104:I104"/>
    <mergeCell ref="E103:I103"/>
    <mergeCell ref="E102:I102"/>
    <mergeCell ref="E101:I101"/>
    <mergeCell ref="J115:K115"/>
    <mergeCell ref="J116:K116"/>
    <mergeCell ref="E109:I109"/>
    <mergeCell ref="J109:K109"/>
    <mergeCell ref="E110:I110"/>
    <mergeCell ref="J110:K110"/>
    <mergeCell ref="E114:I114"/>
    <mergeCell ref="E113:I113"/>
    <mergeCell ref="J113:K113"/>
    <mergeCell ref="J114:K114"/>
    <mergeCell ref="E91:I91"/>
    <mergeCell ref="E96:I96"/>
    <mergeCell ref="E92:I92"/>
    <mergeCell ref="E94:I94"/>
    <mergeCell ref="E76:I76"/>
    <mergeCell ref="E74:I74"/>
    <mergeCell ref="E59:I59"/>
    <mergeCell ref="E49:I49"/>
    <mergeCell ref="E48:I48"/>
    <mergeCell ref="E90:I90"/>
    <mergeCell ref="E89:I89"/>
    <mergeCell ref="E88:I88"/>
    <mergeCell ref="E86:I86"/>
    <mergeCell ref="E85:I85"/>
    <mergeCell ref="E83:I83"/>
    <mergeCell ref="E82:I82"/>
    <mergeCell ref="E87:I87"/>
    <mergeCell ref="E71:H71"/>
    <mergeCell ref="E81:I81"/>
    <mergeCell ref="E80:I80"/>
    <mergeCell ref="E77:I77"/>
    <mergeCell ref="E95:I95"/>
    <mergeCell ref="E93:I93"/>
    <mergeCell ref="E46:I46"/>
    <mergeCell ref="E44:I44"/>
    <mergeCell ref="J48:K48"/>
    <mergeCell ref="J52:K52"/>
    <mergeCell ref="J50:K50"/>
    <mergeCell ref="E70:I70"/>
    <mergeCell ref="E58:I58"/>
    <mergeCell ref="E69:I69"/>
    <mergeCell ref="E68:I68"/>
    <mergeCell ref="E67:I67"/>
    <mergeCell ref="E66:I66"/>
    <mergeCell ref="E65:I65"/>
    <mergeCell ref="E64:I64"/>
    <mergeCell ref="E63:I63"/>
    <mergeCell ref="E51:I51"/>
    <mergeCell ref="J51:K51"/>
    <mergeCell ref="J55:K55"/>
    <mergeCell ref="J56:K56"/>
    <mergeCell ref="J62:K62"/>
    <mergeCell ref="J63:K63"/>
    <mergeCell ref="J64:K64"/>
    <mergeCell ref="J46:K46"/>
    <mergeCell ref="J44:K44"/>
    <mergeCell ref="J57:K57"/>
    <mergeCell ref="J81:K81"/>
    <mergeCell ref="J82:K82"/>
    <mergeCell ref="E84:I84"/>
    <mergeCell ref="J84:K84"/>
    <mergeCell ref="E47:I47"/>
    <mergeCell ref="J60:K60"/>
    <mergeCell ref="J61:K61"/>
    <mergeCell ref="J74:K74"/>
    <mergeCell ref="J72:K72"/>
    <mergeCell ref="E72:H72"/>
    <mergeCell ref="E78:I78"/>
    <mergeCell ref="J78:K78"/>
    <mergeCell ref="E79:I79"/>
    <mergeCell ref="J79:K79"/>
    <mergeCell ref="E97:I97"/>
    <mergeCell ref="J45:K45"/>
    <mergeCell ref="J87:K87"/>
    <mergeCell ref="J85:K85"/>
    <mergeCell ref="E55:I55"/>
    <mergeCell ref="J67:K67"/>
    <mergeCell ref="E75:H75"/>
    <mergeCell ref="E73:H73"/>
    <mergeCell ref="E61:I61"/>
    <mergeCell ref="E60:I60"/>
    <mergeCell ref="E62:H62"/>
    <mergeCell ref="J68:K68"/>
    <mergeCell ref="J69:K69"/>
    <mergeCell ref="J70:K70"/>
    <mergeCell ref="J76:K76"/>
    <mergeCell ref="J77:K77"/>
    <mergeCell ref="J65:K65"/>
    <mergeCell ref="J54:K54"/>
    <mergeCell ref="E53:I53"/>
    <mergeCell ref="E54:I54"/>
    <mergeCell ref="J59:K59"/>
    <mergeCell ref="J58:K58"/>
    <mergeCell ref="J66:K66"/>
    <mergeCell ref="J80:K80"/>
    <mergeCell ref="E99:I99"/>
    <mergeCell ref="K4:M4"/>
    <mergeCell ref="K5:M5"/>
    <mergeCell ref="K6:M6"/>
    <mergeCell ref="E52:I52"/>
    <mergeCell ref="E50:I50"/>
    <mergeCell ref="J73:K73"/>
    <mergeCell ref="J75:K75"/>
    <mergeCell ref="J97:K97"/>
    <mergeCell ref="J98:K98"/>
    <mergeCell ref="E56:I56"/>
    <mergeCell ref="J53:K53"/>
    <mergeCell ref="E57:I57"/>
    <mergeCell ref="J38:K38"/>
    <mergeCell ref="E38:H38"/>
    <mergeCell ref="J41:K41"/>
    <mergeCell ref="J36:K36"/>
    <mergeCell ref="E41:H41"/>
    <mergeCell ref="J49:K49"/>
    <mergeCell ref="J47:K47"/>
    <mergeCell ref="K7:M7"/>
    <mergeCell ref="J71:K71"/>
    <mergeCell ref="C13:E13"/>
    <mergeCell ref="J83:K83"/>
    <mergeCell ref="C14:E14"/>
    <mergeCell ref="C15:E15"/>
    <mergeCell ref="C11:E11"/>
    <mergeCell ref="C10:E10"/>
    <mergeCell ref="C9:E9"/>
    <mergeCell ref="C18:E18"/>
    <mergeCell ref="C21:E21"/>
    <mergeCell ref="C20:E20"/>
    <mergeCell ref="C19:E19"/>
    <mergeCell ref="P34:Q34"/>
    <mergeCell ref="R34:S34"/>
    <mergeCell ref="B24:B27"/>
    <mergeCell ref="C24:E24"/>
    <mergeCell ref="C30:E30"/>
    <mergeCell ref="C25:E25"/>
    <mergeCell ref="C31:E31"/>
    <mergeCell ref="C26:E26"/>
    <mergeCell ref="C32:E32"/>
    <mergeCell ref="C27:E27"/>
    <mergeCell ref="E39:I39"/>
    <mergeCell ref="J39:K39"/>
    <mergeCell ref="E43:I43"/>
    <mergeCell ref="E42:I42"/>
    <mergeCell ref="J42:K42"/>
    <mergeCell ref="B34:E34"/>
    <mergeCell ref="E35:K35"/>
    <mergeCell ref="E40:H40"/>
    <mergeCell ref="J40:K40"/>
    <mergeCell ref="J43:K43"/>
    <mergeCell ref="J37:K37"/>
    <mergeCell ref="E36:I36"/>
    <mergeCell ref="E37:I37"/>
  </mergeCells>
  <conditionalFormatting sqref="K18">
    <cfRule type="expression" dxfId="468" priority="307">
      <formula>$N$21=13</formula>
    </cfRule>
  </conditionalFormatting>
  <conditionalFormatting sqref="L19">
    <cfRule type="expression" dxfId="467" priority="357">
      <formula>$N$21=14</formula>
    </cfRule>
  </conditionalFormatting>
  <conditionalFormatting sqref="C9:E9">
    <cfRule type="cellIs" dxfId="466" priority="340" operator="equal">
      <formula>""</formula>
    </cfRule>
  </conditionalFormatting>
  <conditionalFormatting sqref="C10:E10">
    <cfRule type="cellIs" dxfId="465" priority="339" operator="equal">
      <formula>""</formula>
    </cfRule>
  </conditionalFormatting>
  <conditionalFormatting sqref="C11:E11">
    <cfRule type="cellIs" dxfId="464" priority="338" operator="equal">
      <formula>""</formula>
    </cfRule>
  </conditionalFormatting>
  <conditionalFormatting sqref="C13:E13">
    <cfRule type="cellIs" dxfId="463" priority="337" operator="equal">
      <formula>""</formula>
    </cfRule>
  </conditionalFormatting>
  <conditionalFormatting sqref="C14:E14">
    <cfRule type="cellIs" dxfId="462" priority="336" operator="equal">
      <formula>""</formula>
    </cfRule>
  </conditionalFormatting>
  <conditionalFormatting sqref="C15:E15">
    <cfRule type="cellIs" dxfId="461" priority="335" operator="equal">
      <formula>""</formula>
    </cfRule>
  </conditionalFormatting>
  <conditionalFormatting sqref="C18:E18">
    <cfRule type="cellIs" dxfId="460" priority="334" operator="equal">
      <formula>""</formula>
    </cfRule>
  </conditionalFormatting>
  <conditionalFormatting sqref="C19:E19">
    <cfRule type="cellIs" dxfId="459" priority="333" operator="equal">
      <formula>""</formula>
    </cfRule>
  </conditionalFormatting>
  <conditionalFormatting sqref="C20:E20">
    <cfRule type="cellIs" dxfId="458" priority="332" operator="equal">
      <formula>""</formula>
    </cfRule>
  </conditionalFormatting>
  <conditionalFormatting sqref="C21:E21">
    <cfRule type="cellIs" dxfId="457" priority="331" operator="equal">
      <formula>""</formula>
    </cfRule>
  </conditionalFormatting>
  <conditionalFormatting sqref="A38">
    <cfRule type="cellIs" dxfId="456" priority="325" operator="equal">
      <formula>0</formula>
    </cfRule>
  </conditionalFormatting>
  <conditionalFormatting sqref="A39">
    <cfRule type="cellIs" dxfId="455" priority="324" operator="equal">
      <formula>0</formula>
    </cfRule>
  </conditionalFormatting>
  <conditionalFormatting sqref="A40">
    <cfRule type="cellIs" dxfId="454" priority="323" operator="equal">
      <formula>0</formula>
    </cfRule>
  </conditionalFormatting>
  <conditionalFormatting sqref="A36:A92 A94:A108 A111:A112 A115:A119">
    <cfRule type="cellIs" dxfId="453" priority="322" operator="equal">
      <formula>0</formula>
    </cfRule>
  </conditionalFormatting>
  <conditionalFormatting sqref="A42">
    <cfRule type="cellIs" dxfId="452" priority="321" operator="equal">
      <formula>0</formula>
    </cfRule>
  </conditionalFormatting>
  <conditionalFormatting sqref="A43">
    <cfRule type="cellIs" dxfId="451" priority="320" operator="equal">
      <formula>0</formula>
    </cfRule>
  </conditionalFormatting>
  <conditionalFormatting sqref="A44:A45">
    <cfRule type="cellIs" dxfId="450" priority="319" operator="equal">
      <formula>0</formula>
    </cfRule>
  </conditionalFormatting>
  <conditionalFormatting sqref="A46">
    <cfRule type="cellIs" dxfId="449" priority="318" operator="equal">
      <formula>0</formula>
    </cfRule>
  </conditionalFormatting>
  <conditionalFormatting sqref="A47">
    <cfRule type="cellIs" dxfId="448" priority="317" operator="equal">
      <formula>0</formula>
    </cfRule>
  </conditionalFormatting>
  <conditionalFormatting sqref="A48">
    <cfRule type="cellIs" dxfId="447" priority="316" operator="equal">
      <formula>0</formula>
    </cfRule>
  </conditionalFormatting>
  <conditionalFormatting sqref="A49">
    <cfRule type="cellIs" dxfId="446" priority="315" operator="equal">
      <formula>0</formula>
    </cfRule>
  </conditionalFormatting>
  <conditionalFormatting sqref="A50">
    <cfRule type="cellIs" dxfId="445" priority="314" operator="equal">
      <formula>0</formula>
    </cfRule>
  </conditionalFormatting>
  <conditionalFormatting sqref="A52">
    <cfRule type="cellIs" dxfId="444" priority="313" operator="equal">
      <formula>0</formula>
    </cfRule>
  </conditionalFormatting>
  <conditionalFormatting sqref="A53:A57 A100:A108 A111">
    <cfRule type="cellIs" dxfId="443" priority="312" operator="equal">
      <formula>0</formula>
    </cfRule>
  </conditionalFormatting>
  <conditionalFormatting sqref="A117">
    <cfRule type="cellIs" dxfId="442" priority="310" operator="equal">
      <formula>0</formula>
    </cfRule>
  </conditionalFormatting>
  <conditionalFormatting sqref="A118">
    <cfRule type="cellIs" dxfId="441" priority="309" operator="equal">
      <formula>0</formula>
    </cfRule>
  </conditionalFormatting>
  <conditionalFormatting sqref="A119">
    <cfRule type="cellIs" dxfId="440" priority="308" operator="equal">
      <formula>0</formula>
    </cfRule>
  </conditionalFormatting>
  <conditionalFormatting sqref="A115:A116">
    <cfRule type="cellIs" dxfId="439" priority="300" operator="equal">
      <formula>0</formula>
    </cfRule>
  </conditionalFormatting>
  <conditionalFormatting sqref="A112">
    <cfRule type="cellIs" dxfId="438" priority="299" operator="equal">
      <formula>0</formula>
    </cfRule>
  </conditionalFormatting>
  <conditionalFormatting sqref="B117">
    <cfRule type="cellIs" dxfId="437" priority="225" operator="equal">
      <formula>0</formula>
    </cfRule>
  </conditionalFormatting>
  <conditionalFormatting sqref="B118">
    <cfRule type="cellIs" dxfId="436" priority="224" operator="equal">
      <formula>0</formula>
    </cfRule>
  </conditionalFormatting>
  <conditionalFormatting sqref="B119">
    <cfRule type="cellIs" dxfId="435" priority="223" operator="equal">
      <formula>0</formula>
    </cfRule>
  </conditionalFormatting>
  <conditionalFormatting sqref="C119">
    <cfRule type="cellIs" dxfId="434" priority="222" operator="equal">
      <formula>0</formula>
    </cfRule>
  </conditionalFormatting>
  <conditionalFormatting sqref="C118">
    <cfRule type="cellIs" dxfId="433" priority="221" operator="equal">
      <formula>0</formula>
    </cfRule>
  </conditionalFormatting>
  <conditionalFormatting sqref="C117">
    <cfRule type="cellIs" dxfId="432" priority="220" operator="equal">
      <formula>0</formula>
    </cfRule>
  </conditionalFormatting>
  <conditionalFormatting sqref="M117">
    <cfRule type="cellIs" dxfId="431" priority="219" operator="equal">
      <formula>0</formula>
    </cfRule>
  </conditionalFormatting>
  <conditionalFormatting sqref="M118">
    <cfRule type="cellIs" dxfId="430" priority="218" operator="equal">
      <formula>0</formula>
    </cfRule>
  </conditionalFormatting>
  <conditionalFormatting sqref="M119">
    <cfRule type="cellIs" dxfId="429" priority="217" operator="equal">
      <formula>0</formula>
    </cfRule>
  </conditionalFormatting>
  <conditionalFormatting sqref="L117">
    <cfRule type="cellIs" dxfId="428" priority="216" operator="equal">
      <formula>0</formula>
    </cfRule>
  </conditionalFormatting>
  <conditionalFormatting sqref="L118">
    <cfRule type="cellIs" dxfId="427" priority="215" operator="equal">
      <formula>0</formula>
    </cfRule>
  </conditionalFormatting>
  <conditionalFormatting sqref="L119">
    <cfRule type="cellIs" dxfId="426" priority="214" operator="equal">
      <formula>0</formula>
    </cfRule>
  </conditionalFormatting>
  <conditionalFormatting sqref="E117">
    <cfRule type="cellIs" dxfId="425" priority="213" operator="equal">
      <formula>0</formula>
    </cfRule>
  </conditionalFormatting>
  <conditionalFormatting sqref="E118">
    <cfRule type="cellIs" dxfId="424" priority="212" operator="equal">
      <formula>0</formula>
    </cfRule>
  </conditionalFormatting>
  <conditionalFormatting sqref="E119">
    <cfRule type="cellIs" dxfId="423" priority="210" operator="equal">
      <formula>0</formula>
    </cfRule>
  </conditionalFormatting>
  <conditionalFormatting sqref="J88:K88">
    <cfRule type="cellIs" dxfId="422" priority="199" operator="equal">
      <formula>""</formula>
    </cfRule>
  </conditionalFormatting>
  <conditionalFormatting sqref="A59">
    <cfRule type="cellIs" dxfId="421" priority="181" operator="equal">
      <formula>0</formula>
    </cfRule>
  </conditionalFormatting>
  <conditionalFormatting sqref="A58">
    <cfRule type="cellIs" dxfId="420" priority="178" operator="equal">
      <formula>0</formula>
    </cfRule>
  </conditionalFormatting>
  <conditionalFormatting sqref="D119">
    <cfRule type="cellIs" dxfId="419" priority="140" operator="equal">
      <formula>0</formula>
    </cfRule>
  </conditionalFormatting>
  <conditionalFormatting sqref="D118">
    <cfRule type="cellIs" dxfId="418" priority="139" operator="equal">
      <formula>0</formula>
    </cfRule>
  </conditionalFormatting>
  <conditionalFormatting sqref="D117">
    <cfRule type="cellIs" dxfId="417" priority="138" operator="equal">
      <formula>0</formula>
    </cfRule>
  </conditionalFormatting>
  <conditionalFormatting sqref="AG76">
    <cfRule type="dataBar" priority="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{2CCE344C-485F-4998-B0D1-CDB0A1796DD0}</x14:id>
        </ext>
      </extLst>
    </cfRule>
  </conditionalFormatting>
  <conditionalFormatting sqref="A51">
    <cfRule type="cellIs" dxfId="416" priority="119" operator="equal">
      <formula>""</formula>
    </cfRule>
  </conditionalFormatting>
  <conditionalFormatting sqref="I13">
    <cfRule type="expression" dxfId="415" priority="114">
      <formula>$N$13=2</formula>
    </cfRule>
    <cfRule type="expression" dxfId="414" priority="117">
      <formula>$N$13=1</formula>
    </cfRule>
  </conditionalFormatting>
  <conditionalFormatting sqref="L13">
    <cfRule type="expression" dxfId="413" priority="18">
      <formula>$N$13=1</formula>
    </cfRule>
    <cfRule type="expression" dxfId="412" priority="116">
      <formula>$N$13=2</formula>
    </cfRule>
  </conditionalFormatting>
  <conditionalFormatting sqref="A99">
    <cfRule type="cellIs" dxfId="411" priority="109" operator="equal">
      <formula>0</formula>
    </cfRule>
  </conditionalFormatting>
  <conditionalFormatting sqref="A72">
    <cfRule type="cellIs" dxfId="410" priority="107" operator="equal">
      <formula>0</formula>
    </cfRule>
  </conditionalFormatting>
  <conditionalFormatting sqref="A78">
    <cfRule type="cellIs" dxfId="409" priority="104" operator="equal">
      <formula>0</formula>
    </cfRule>
  </conditionalFormatting>
  <conditionalFormatting sqref="A79">
    <cfRule type="cellIs" dxfId="408" priority="103" operator="equal">
      <formula>0</formula>
    </cfRule>
  </conditionalFormatting>
  <conditionalFormatting sqref="A94:A95">
    <cfRule type="cellIs" dxfId="407" priority="99" operator="equal">
      <formula>0</formula>
    </cfRule>
  </conditionalFormatting>
  <conditionalFormatting sqref="A94:B95 E94:K94 J95 D95">
    <cfRule type="cellIs" dxfId="406" priority="98" operator="equal">
      <formula>""</formula>
    </cfRule>
  </conditionalFormatting>
  <conditionalFormatting sqref="C24:E24">
    <cfRule type="cellIs" dxfId="405" priority="97" operator="equal">
      <formula>""</formula>
    </cfRule>
  </conditionalFormatting>
  <conditionalFormatting sqref="C25:E25">
    <cfRule type="cellIs" dxfId="404" priority="96" operator="equal">
      <formula>""</formula>
    </cfRule>
  </conditionalFormatting>
  <conditionalFormatting sqref="C26:E26">
    <cfRule type="cellIs" dxfId="403" priority="95" operator="equal">
      <formula>""</formula>
    </cfRule>
  </conditionalFormatting>
  <conditionalFormatting sqref="C27:E27">
    <cfRule type="cellIs" dxfId="402" priority="94" operator="equal">
      <formula>""</formula>
    </cfRule>
  </conditionalFormatting>
  <conditionalFormatting sqref="C32:E32 C30:C31">
    <cfRule type="cellIs" dxfId="401" priority="93" operator="equal">
      <formula>""</formula>
    </cfRule>
  </conditionalFormatting>
  <conditionalFormatting sqref="K4">
    <cfRule type="cellIs" dxfId="400" priority="84" operator="equal">
      <formula>""</formula>
    </cfRule>
  </conditionalFormatting>
  <conditionalFormatting sqref="K5">
    <cfRule type="cellIs" dxfId="399" priority="83" operator="equal">
      <formula>""</formula>
    </cfRule>
  </conditionalFormatting>
  <conditionalFormatting sqref="K6">
    <cfRule type="cellIs" dxfId="398" priority="82" operator="equal">
      <formula>""</formula>
    </cfRule>
  </conditionalFormatting>
  <conditionalFormatting sqref="K7">
    <cfRule type="cellIs" dxfId="397" priority="81" operator="equal">
      <formula>""</formula>
    </cfRule>
  </conditionalFormatting>
  <conditionalFormatting sqref="A38:B38 D38:K38">
    <cfRule type="expression" dxfId="396" priority="67">
      <formula>$N$24=5</formula>
    </cfRule>
  </conditionalFormatting>
  <conditionalFormatting sqref="A40:B40 D40:K40">
    <cfRule type="expression" dxfId="395" priority="65">
      <formula>OR($N$24=5,$N$24=1)</formula>
    </cfRule>
  </conditionalFormatting>
  <conditionalFormatting sqref="A88:B88 D88:K88">
    <cfRule type="expression" dxfId="394" priority="16">
      <formula>OR($N$25=1,$N$25=5)</formula>
    </cfRule>
  </conditionalFormatting>
  <conditionalFormatting sqref="A90:B90 D90:K90">
    <cfRule type="expression" dxfId="393" priority="36">
      <formula>$N$25=5</formula>
    </cfRule>
  </conditionalFormatting>
  <conditionalFormatting sqref="E95:I95">
    <cfRule type="cellIs" dxfId="392" priority="15" operator="equal">
      <formula>""</formula>
    </cfRule>
  </conditionalFormatting>
  <conditionalFormatting sqref="A93">
    <cfRule type="cellIs" dxfId="391" priority="13" operator="equal">
      <formula>0</formula>
    </cfRule>
  </conditionalFormatting>
  <conditionalFormatting sqref="A109">
    <cfRule type="cellIs" dxfId="390" priority="8" operator="equal">
      <formula>0</formula>
    </cfRule>
  </conditionalFormatting>
  <conditionalFormatting sqref="A109">
    <cfRule type="cellIs" dxfId="389" priority="7" operator="equal">
      <formula>0</formula>
    </cfRule>
  </conditionalFormatting>
  <conditionalFormatting sqref="A110">
    <cfRule type="cellIs" dxfId="388" priority="5" operator="equal">
      <formula>0</formula>
    </cfRule>
  </conditionalFormatting>
  <conditionalFormatting sqref="A110">
    <cfRule type="cellIs" dxfId="387" priority="4" operator="equal">
      <formula>0</formula>
    </cfRule>
  </conditionalFormatting>
  <conditionalFormatting sqref="A113">
    <cfRule type="cellIs" dxfId="386" priority="2" operator="equal">
      <formula>""</formula>
    </cfRule>
  </conditionalFormatting>
  <conditionalFormatting sqref="A114">
    <cfRule type="cellIs" dxfId="385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1107" r:id="rId5">
          <objectPr defaultSize="0" autoPict="0" r:id="rId6">
            <anchor moveWithCells="1" sizeWithCells="1">
              <from>
                <xdr:col>2</xdr:col>
                <xdr:colOff>182880</xdr:colOff>
                <xdr:row>51</xdr:row>
                <xdr:rowOff>68580</xdr:rowOff>
              </from>
              <to>
                <xdr:col>2</xdr:col>
                <xdr:colOff>601980</xdr:colOff>
                <xdr:row>51</xdr:row>
                <xdr:rowOff>350520</xdr:rowOff>
              </to>
            </anchor>
          </objectPr>
        </oleObject>
      </mc:Choice>
      <mc:Fallback>
        <oleObject shapeId="1107" r:id="rId5"/>
      </mc:Fallback>
    </mc:AlternateContent>
    <mc:AlternateContent xmlns:mc="http://schemas.openxmlformats.org/markup-compatibility/2006">
      <mc:Choice Requires="x14">
        <oleObject shapeId="1110" r:id="rId7">
          <objectPr defaultSize="0" autoPict="0" r:id="rId8">
            <anchor moveWithCells="1" sizeWithCells="1">
              <from>
                <xdr:col>2</xdr:col>
                <xdr:colOff>182880</xdr:colOff>
                <xdr:row>104</xdr:row>
                <xdr:rowOff>68580</xdr:rowOff>
              </from>
              <to>
                <xdr:col>2</xdr:col>
                <xdr:colOff>601980</xdr:colOff>
                <xdr:row>104</xdr:row>
                <xdr:rowOff>350520</xdr:rowOff>
              </to>
            </anchor>
          </objectPr>
        </oleObject>
      </mc:Choice>
      <mc:Fallback>
        <oleObject shapeId="1110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9" name="Group Box 7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Group Box 9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1" name="Group Box 56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2" name="Option Button 6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3" name="Option Button 6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4" name="Option Button 6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5" name="Option Button 7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6" name="Option Button 7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7" name="Option Button 7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8" name="Option Button 74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15</xdr:row>
                    <xdr:rowOff>30480</xdr:rowOff>
                  </from>
                  <to>
                    <xdr:col>8</xdr:col>
                    <xdr:colOff>830580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9" name="Option Button 75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16</xdr:row>
                    <xdr:rowOff>30480</xdr:rowOff>
                  </from>
                  <to>
                    <xdr:col>8</xdr:col>
                    <xdr:colOff>830580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" name="Option Button 78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17</xdr:row>
                    <xdr:rowOff>30480</xdr:rowOff>
                  </from>
                  <to>
                    <xdr:col>8</xdr:col>
                    <xdr:colOff>830580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1" name="Option Button 79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18</xdr:row>
                    <xdr:rowOff>30480</xdr:rowOff>
                  </from>
                  <to>
                    <xdr:col>8</xdr:col>
                    <xdr:colOff>830580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2" name="Group Box 88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23</xdr:row>
                    <xdr:rowOff>0</xdr:rowOff>
                  </from>
                  <to>
                    <xdr:col>7</xdr:col>
                    <xdr:colOff>762000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3" name="Option Button 9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24</xdr:row>
                    <xdr:rowOff>7620</xdr:rowOff>
                  </from>
                  <to>
                    <xdr:col>6</xdr:col>
                    <xdr:colOff>335280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24" name="Group Box 114">
              <controlPr defaultSize="0" print="0" autoFill="0" autoPict="0" altText="">
                <anchor moveWithCells="1">
                  <from>
                    <xdr:col>8</xdr:col>
                    <xdr:colOff>762000</xdr:colOff>
                    <xdr:row>23</xdr:row>
                    <xdr:rowOff>0</xdr:rowOff>
                  </from>
                  <to>
                    <xdr:col>12</xdr:col>
                    <xdr:colOff>144780</xdr:colOff>
                    <xdr:row>29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25" name="Option Button 115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24</xdr:row>
                    <xdr:rowOff>7620</xdr:rowOff>
                  </from>
                  <to>
                    <xdr:col>9</xdr:col>
                    <xdr:colOff>350520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26" name="Option Button 132">
              <controlPr locked="0" defaultSize="0" autoFill="0" autoLine="0" autoPict="0" altText="">
                <anchor moveWithCells="1">
                  <from>
                    <xdr:col>5</xdr:col>
                    <xdr:colOff>563880</xdr:colOff>
                    <xdr:row>25</xdr:row>
                    <xdr:rowOff>7620</xdr:rowOff>
                  </from>
                  <to>
                    <xdr:col>6</xdr:col>
                    <xdr:colOff>335280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27" name="Option Button 133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25</xdr:row>
                    <xdr:rowOff>7620</xdr:rowOff>
                  </from>
                  <to>
                    <xdr:col>9</xdr:col>
                    <xdr:colOff>350520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28" name="Option Button 13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26</xdr:row>
                    <xdr:rowOff>7620</xdr:rowOff>
                  </from>
                  <to>
                    <xdr:col>6</xdr:col>
                    <xdr:colOff>335280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29" name="Option Button 135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26</xdr:row>
                    <xdr:rowOff>7620</xdr:rowOff>
                  </from>
                  <to>
                    <xdr:col>9</xdr:col>
                    <xdr:colOff>350520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30" name="Option Button 13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27</xdr:row>
                    <xdr:rowOff>0</xdr:rowOff>
                  </from>
                  <to>
                    <xdr:col>6</xdr:col>
                    <xdr:colOff>335280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31" name="Option Button 137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27</xdr:row>
                    <xdr:rowOff>0</xdr:rowOff>
                  </from>
                  <to>
                    <xdr:col>9</xdr:col>
                    <xdr:colOff>350520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32" name="Option Button 13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28</xdr:row>
                    <xdr:rowOff>0</xdr:rowOff>
                  </from>
                  <to>
                    <xdr:col>6</xdr:col>
                    <xdr:colOff>335280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33" name="Option Button 139">
              <controlPr defaultSize="0" autoFill="0" autoLine="0" autoPict="0" altText="">
                <anchor moveWithCells="1">
                  <from>
                    <xdr:col>8</xdr:col>
                    <xdr:colOff>792480</xdr:colOff>
                    <xdr:row>28</xdr:row>
                    <xdr:rowOff>0</xdr:rowOff>
                  </from>
                  <to>
                    <xdr:col>9</xdr:col>
                    <xdr:colOff>350520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34" name="Option Button 140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297180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35" name="Option Button 14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640080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36" name="Group Box 15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37" name="Option Button 16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38" name="Option Button 16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CE344C-485F-4998-B0D1-CDB0A1796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AG76</xm:sqref>
        </x14:conditionalFormatting>
        <x14:conditionalFormatting xmlns:xm="http://schemas.microsoft.com/office/excel/2006/main">
          <x14:cfRule type="expression" priority="69" id="{71489F02-7EBC-40B4-B2A2-6B2FB3FA743E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68" id="{A7297632-029A-475B-A437-D7E223EC6049}">
            <xm:f>$J$37=Formeln!$A$174</xm:f>
            <x14:dxf>
              <font>
                <color theme="0" tint="-0.34998626667073579"/>
              </font>
            </x14:dxf>
          </x14:cfRule>
          <xm:sqref>A37:B37 D37:K37</xm:sqref>
        </x14:conditionalFormatting>
        <x14:conditionalFormatting xmlns:xm="http://schemas.microsoft.com/office/excel/2006/main">
          <x14:cfRule type="expression" priority="66" id="{21F3188A-C5C9-4217-A3AE-3094FB3902C2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64" id="{BEEAC939-9ADB-4D6D-8BB6-00B5D2CDD18A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63" id="{C5BB3AC2-B3B6-4F0B-8B80-6C05152EB296}">
            <xm:f>$J$43=Formeln!$A$174</xm:f>
            <x14:dxf>
              <font>
                <color theme="0" tint="-0.34998626667073579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62" id="{7832B2F1-6BDA-4F9F-921F-4DEB8D8FA496}">
            <xm:f>$J$44=Formeln!$A$174</xm:f>
            <x14:dxf>
              <font>
                <color theme="0" tint="-0.34998626667073579"/>
              </font>
            </x14:dxf>
          </x14:cfRule>
          <xm:sqref>A44:B44 D44:K44</xm:sqref>
        </x14:conditionalFormatting>
        <x14:conditionalFormatting xmlns:xm="http://schemas.microsoft.com/office/excel/2006/main">
          <x14:cfRule type="expression" priority="61" id="{BF94CED9-3E79-41A4-B15B-4786AE4EDC34}">
            <xm:f>$J$45=Formeln!$A$174</xm:f>
            <x14:dxf>
              <font>
                <color theme="0" tint="-0.34998626667073579"/>
              </font>
            </x14:dxf>
          </x14:cfRule>
          <xm:sqref>A45:B45 D45:K45</xm:sqref>
        </x14:conditionalFormatting>
        <x14:conditionalFormatting xmlns:xm="http://schemas.microsoft.com/office/excel/2006/main">
          <x14:cfRule type="expression" priority="60" id="{FEE87D52-EE1E-49AE-BF2C-6824B621EC32}">
            <xm:f>$J$46=Formeln!$A$174</xm:f>
            <x14:dxf>
              <font>
                <color theme="0" tint="-0.34998626667073579"/>
              </font>
            </x14:dxf>
          </x14:cfRule>
          <xm:sqref>A46:B46 D46:K46</xm:sqref>
        </x14:conditionalFormatting>
        <x14:conditionalFormatting xmlns:xm="http://schemas.microsoft.com/office/excel/2006/main">
          <x14:cfRule type="expression" priority="59" id="{4716234F-DAC6-4FCD-B720-77BD483DB8ED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56" id="{18DDD663-D245-4061-A47A-643BF1B8B9ED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55" id="{965C31CD-F7C0-4EB6-87C7-E4F4F52F742A}">
            <xm:f>$J$54=Formeln!$A$174</xm:f>
            <x14:dxf>
              <font>
                <color theme="0" tint="-0.34998626667073579"/>
              </font>
            </x14:dxf>
          </x14:cfRule>
          <xm:sqref>A54:B54 E54:K54</xm:sqref>
        </x14:conditionalFormatting>
        <x14:conditionalFormatting xmlns:xm="http://schemas.microsoft.com/office/excel/2006/main">
          <x14:cfRule type="expression" priority="54" id="{E75BE902-472C-4172-B878-ED030E549A53}">
            <xm:f>$J$55=Formeln!$A$174</xm:f>
            <x14:dxf>
              <font>
                <color theme="0" tint="-0.34998626667073579"/>
              </font>
            </x14:dxf>
          </x14:cfRule>
          <xm:sqref>A55:B55 D55:K55</xm:sqref>
        </x14:conditionalFormatting>
        <x14:conditionalFormatting xmlns:xm="http://schemas.microsoft.com/office/excel/2006/main">
          <x14:cfRule type="expression" priority="53" id="{D9944D2B-71D5-4C7C-8395-A8815B43367F}">
            <xm:f>$J$56=Formeln!$A$174</xm:f>
            <x14:dxf>
              <font>
                <color theme="0" tint="-0.34998626667073579"/>
              </font>
            </x14:dxf>
          </x14:cfRule>
          <xm:sqref>A56:B56 D56:K56</xm:sqref>
        </x14:conditionalFormatting>
        <x14:conditionalFormatting xmlns:xm="http://schemas.microsoft.com/office/excel/2006/main">
          <x14:cfRule type="expression" priority="52" id="{D6570B61-89AB-4920-AE8A-EB4AA6F421B9}">
            <xm:f>$J$57=Formeln!$A$174</xm:f>
            <x14:dxf>
              <font>
                <color theme="0" tint="-0.34998626667073579"/>
              </font>
            </x14:dxf>
          </x14:cfRule>
          <xm:sqref>A57:B57 D57:K57</xm:sqref>
        </x14:conditionalFormatting>
        <x14:conditionalFormatting xmlns:xm="http://schemas.microsoft.com/office/excel/2006/main">
          <x14:cfRule type="expression" priority="51" id="{8440FB34-B238-4D13-B32C-ECD43025CB56}">
            <xm:f>$J$58=Formeln!$A$174</xm:f>
            <x14:dxf>
              <font>
                <color theme="0" tint="-0.34998626667073579"/>
              </font>
            </x14:dxf>
          </x14:cfRule>
          <xm:sqref>A58:B58 D58:K58</xm:sqref>
        </x14:conditionalFormatting>
        <x14:conditionalFormatting xmlns:xm="http://schemas.microsoft.com/office/excel/2006/main">
          <x14:cfRule type="expression" priority="50" id="{9383F9C6-1A74-457A-848D-447CBA765484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49" id="{F9538138-C7E7-4553-AFC8-0BE4ACFE86F5}">
            <xm:f>$J$60=Formeln!$A$174</xm:f>
            <x14:dxf>
              <font>
                <color theme="0" tint="-0.34998626667073579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48" id="{AB50E477-A525-41CA-901E-63C7B3C56FEC}">
            <xm:f>$J$61=Formeln!$A$174</xm:f>
            <x14:dxf>
              <font>
                <color theme="0" tint="-0.34998626667073579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46" id="{42B0E107-E21E-44BE-8C1D-FC67A03AAC22}">
            <xm:f>$J$67=Formeln!$A$174</xm:f>
            <x14:dxf>
              <font>
                <color theme="0" tint="-0.34998626667073579"/>
              </font>
            </x14:dxf>
          </x14:cfRule>
          <xm:sqref>A67:B67 D67:K67</xm:sqref>
        </x14:conditionalFormatting>
        <x14:conditionalFormatting xmlns:xm="http://schemas.microsoft.com/office/excel/2006/main">
          <x14:cfRule type="expression" priority="45" id="{49C09583-FA36-4E75-9E3F-5F8C01094E2B}">
            <xm:f>$J$69=Formeln!$A$174</xm:f>
            <x14:dxf>
              <font>
                <color theme="0" tint="-0.34998626667073579"/>
              </font>
            </x14:dxf>
          </x14:cfRule>
          <xm:sqref>A69:B69 D69:K69</xm:sqref>
        </x14:conditionalFormatting>
        <x14:conditionalFormatting xmlns:xm="http://schemas.microsoft.com/office/excel/2006/main">
          <x14:cfRule type="expression" priority="44" id="{9B614231-3FFC-4B03-9007-260EDE6DC280}">
            <xm:f>$J$81=Formeln!$A$174</xm:f>
            <x14:dxf>
              <font>
                <color theme="0" tint="-0.34998626667073579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43" id="{359AE584-DD33-472C-AB0F-64913465B0D5}">
            <xm:f>$J$82=Formeln!$A$174</xm:f>
            <x14:dxf>
              <font>
                <color theme="0" tint="-0.34998626667073579"/>
              </font>
            </x14:dxf>
          </x14:cfRule>
          <xm:sqref>A82:B82 D82:K82</xm:sqref>
        </x14:conditionalFormatting>
        <x14:conditionalFormatting xmlns:xm="http://schemas.microsoft.com/office/excel/2006/main">
          <x14:cfRule type="expression" priority="42" id="{C2C3A87D-83AB-4B63-B09C-09583EFD6B2C}">
            <xm:f>$J$84=Formeln!$A$174</xm:f>
            <x14:dxf>
              <font>
                <color theme="0" tint="-0.34998626667073579"/>
              </font>
            </x14:dxf>
          </x14:cfRule>
          <xm:sqref>A84:B84 D84:I84 E84:K84</xm:sqref>
        </x14:conditionalFormatting>
        <x14:conditionalFormatting xmlns:xm="http://schemas.microsoft.com/office/excel/2006/main">
          <x14:cfRule type="expression" priority="41" id="{EF0B7A3A-F268-476D-B518-7CE29A0E869F}">
            <xm:f>$J$85=Formeln!$A$174</xm:f>
            <x14:dxf>
              <font>
                <color theme="0" tint="-0.34998626667073579"/>
              </font>
            </x14:dxf>
          </x14:cfRule>
          <xm:sqref>A85:B85 D85:K85</xm:sqref>
        </x14:conditionalFormatting>
        <x14:conditionalFormatting xmlns:xm="http://schemas.microsoft.com/office/excel/2006/main">
          <x14:cfRule type="expression" priority="40" id="{51320D22-53E4-46A0-8E87-EAA10C38FE5F}">
            <xm:f>$J$86=Formeln!$A$174</xm:f>
            <x14:dxf>
              <font>
                <color theme="0" tint="-0.34998626667073579"/>
              </font>
            </x14:dxf>
          </x14:cfRule>
          <xm:sqref>A86:B86 D86:K86</xm:sqref>
        </x14:conditionalFormatting>
        <x14:conditionalFormatting xmlns:xm="http://schemas.microsoft.com/office/excel/2006/main">
          <x14:cfRule type="expression" priority="39" id="{A9EAE49A-C23B-44A2-81E7-C654B6AB71BB}">
            <xm:f>$J$87=Formeln!$A$174</xm:f>
            <x14:dxf>
              <font>
                <color theme="0" tint="-0.34998626667073579"/>
              </font>
            </x14:dxf>
          </x14:cfRule>
          <xm:sqref>A87:B87 D87:K87</xm:sqref>
        </x14:conditionalFormatting>
        <x14:conditionalFormatting xmlns:xm="http://schemas.microsoft.com/office/excel/2006/main">
          <x14:cfRule type="expression" priority="38" id="{733DE0F4-DC5A-490D-870A-01F82078341B}">
            <xm:f>$J$88=Formeln!$A$174</xm:f>
            <x14:dxf>
              <font>
                <color theme="0" tint="-0.34998626667073579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37" id="{B65FCF3D-38A7-43B7-85A9-BD670FB1EA4F}">
            <xm:f>$J$89=Formeln!$A$174</xm:f>
            <x14:dxf>
              <font>
                <color theme="0" tint="-0.34998626667073579"/>
              </font>
            </x14:dxf>
          </x14:cfRule>
          <xm:sqref>A89:B89 D89:K89</xm:sqref>
        </x14:conditionalFormatting>
        <x14:conditionalFormatting xmlns:xm="http://schemas.microsoft.com/office/excel/2006/main">
          <x14:cfRule type="expression" priority="34" id="{7B8AA3E3-104C-41F1-A1E0-FCE6BD18E07E}">
            <xm:f>$J$91=Formeln!$A$174</xm:f>
            <x14:dxf>
              <font>
                <color theme="0" tint="-0.34998626667073579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33" id="{C5ED3874-7FB4-4F49-A3E7-A01A0ECD3192}">
            <xm:f>$J$92=Formeln!$A$174</xm:f>
            <x14:dxf>
              <font>
                <color theme="0" tint="-0.34998626667073579"/>
              </font>
            </x14:dxf>
          </x14:cfRule>
          <xm:sqref>A92:B92 D92:K92</xm:sqref>
        </x14:conditionalFormatting>
        <x14:conditionalFormatting xmlns:xm="http://schemas.microsoft.com/office/excel/2006/main">
          <x14:cfRule type="expression" priority="32" id="{4C35F7B6-1101-4837-AA8E-4230C1D6E344}">
            <xm:f>$J$96=Formeln!$A$174</xm:f>
            <x14:dxf>
              <font>
                <color theme="0" tint="-0.34998626667073579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31" id="{94B72B97-3438-41D1-9D6D-F062AA95A79F}">
            <xm:f>$J$97=Formeln!$A$174</xm:f>
            <x14:dxf>
              <font>
                <color theme="0" tint="-0.34998626667073579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30" id="{143585D9-A433-4034-8B2F-9D446B2473B2}">
            <xm:f>$J$98=Formeln!$A$174</xm:f>
            <x14:dxf>
              <font>
                <color theme="0" tint="-0.34998626667073579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9" id="{B9B26701-0E7C-44D9-B9B0-344D9845A903}">
            <xm:f>$J$99=Formeln!$A$174</xm:f>
            <x14:dxf>
              <font>
                <color theme="0" tint="-0.34998626667073579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28" id="{CF4FF2FF-D930-46CC-BE72-1DFDB2F45E31}">
            <xm:f>$J$100=Formeln!$A$174</xm:f>
            <x14:dxf>
              <font>
                <color theme="0" tint="-0.34998626667073579"/>
              </font>
            </x14:dxf>
          </x14:cfRule>
          <xm:sqref>A100:B100 D100:K100</xm:sqref>
        </x14:conditionalFormatting>
        <x14:conditionalFormatting xmlns:xm="http://schemas.microsoft.com/office/excel/2006/main">
          <x14:cfRule type="expression" priority="27" id="{EDE3979E-E68D-429C-839B-395F0D7B07D5}">
            <xm:f>$J$105=Formeln!$A$174</xm:f>
            <x14:dxf>
              <font>
                <color theme="0" tint="-0.34998626667073579"/>
              </font>
            </x14:dxf>
          </x14:cfRule>
          <xm:sqref>A105:B105 D105:K105</xm:sqref>
        </x14:conditionalFormatting>
        <x14:conditionalFormatting xmlns:xm="http://schemas.microsoft.com/office/excel/2006/main">
          <x14:cfRule type="expression" priority="26" id="{9D04698F-A851-4A3B-B639-6F19203AB03E}">
            <xm:f>$J$106=Formeln!$A$174</xm:f>
            <x14:dxf>
              <font>
                <color theme="0" tint="-0.34998626667073579"/>
              </font>
            </x14:dxf>
          </x14:cfRule>
          <xm:sqref>A106:B106 D106:K106</xm:sqref>
        </x14:conditionalFormatting>
        <x14:conditionalFormatting xmlns:xm="http://schemas.microsoft.com/office/excel/2006/main">
          <x14:cfRule type="expression" priority="25" id="{991ABCC2-87CF-470F-81AE-22893866445D}">
            <xm:f>$J$108=Formeln!$A$174</xm:f>
            <x14:dxf>
              <font>
                <color theme="0" tint="-0.34998626667073579"/>
              </font>
            </x14:dxf>
          </x14:cfRule>
          <xm:sqref>A108:B108 D108:K108</xm:sqref>
        </x14:conditionalFormatting>
        <x14:conditionalFormatting xmlns:xm="http://schemas.microsoft.com/office/excel/2006/main">
          <x14:cfRule type="expression" priority="24" id="{75ED521F-416A-4309-BFE9-336DC7FD2C20}">
            <xm:f>$J$107=Formeln!$A$174</xm:f>
            <x14:dxf>
              <font>
                <color theme="0" tint="-0.34998626667073579"/>
              </font>
            </x14:dxf>
          </x14:cfRule>
          <xm:sqref>A107:B107 D107:K107</xm:sqref>
        </x14:conditionalFormatting>
        <x14:conditionalFormatting xmlns:xm="http://schemas.microsoft.com/office/excel/2006/main">
          <x14:cfRule type="expression" priority="23" id="{E8846115-FC9A-47DD-BFED-18BF23748C2A}">
            <xm:f>$J$68=Formeln!$A$174</xm:f>
            <x14:dxf>
              <font>
                <color theme="0" tint="-0.34998626667073579"/>
              </font>
            </x14:dxf>
          </x14:cfRule>
          <xm:sqref>A68:B68 D68:K68</xm:sqref>
        </x14:conditionalFormatting>
        <x14:conditionalFormatting xmlns:xm="http://schemas.microsoft.com/office/excel/2006/main">
          <x14:cfRule type="expression" priority="22" id="{78C8ECB1-DDA4-4FF5-8C32-0A67883D32B2}">
            <xm:f>$J$83=Formeln!$A$174</xm:f>
            <x14:dxf>
              <font>
                <color theme="0" tint="-0.34998626667073579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193" id="{8C3F2971-5A23-4535-8B30-E5FA2FB25512}">
            <xm:f>$J$38=Formeln!$A$1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J38:K38</xm:sqref>
        </x14:conditionalFormatting>
        <x14:conditionalFormatting xmlns:xm="http://schemas.microsoft.com/office/excel/2006/main">
          <x14:cfRule type="expression" priority="192" id="{91F71A24-3623-49FB-8519-1A8867BB8B14}">
            <xm:f>$J$40=Formeln!$A$1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J40:K40</xm:sqref>
        </x14:conditionalFormatting>
        <x14:conditionalFormatting xmlns:xm="http://schemas.microsoft.com/office/excel/2006/main">
          <x14:cfRule type="expression" priority="188" id="{48D5839B-0784-47B5-85B3-AB7CF1A48F7E}">
            <xm:f>$J$71=Formeln!$A$1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J71:K71</xm:sqref>
        </x14:conditionalFormatting>
        <x14:conditionalFormatting xmlns:xm="http://schemas.microsoft.com/office/excel/2006/main">
          <x14:cfRule type="expression" priority="186" id="{D9B77599-2A0D-434D-A62B-95AE6D30D9DF}">
            <xm:f>$J$75=Formeln!$A$1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J75:K75</xm:sqref>
        </x14:conditionalFormatting>
        <x14:conditionalFormatting xmlns:xm="http://schemas.microsoft.com/office/excel/2006/main">
          <x14:cfRule type="expression" priority="185" id="{EA9F1C99-4D3D-4CDE-B566-7A9A25819B16}">
            <xm:f>$J$90=Formeln!$A$1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J90:K90</xm:sqref>
        </x14:conditionalFormatting>
        <x14:conditionalFormatting xmlns:xm="http://schemas.microsoft.com/office/excel/2006/main">
          <x14:cfRule type="expression" priority="184" id="{3AB3A3D6-F198-40F5-BF18-CD300C8E03D7}">
            <xm:f>$J$101=Formeln!$A$1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J101:K101</xm:sqref>
        </x14:conditionalFormatting>
        <x14:conditionalFormatting xmlns:xm="http://schemas.microsoft.com/office/excel/2006/main">
          <x14:cfRule type="expression" priority="183" id="{9AC5491F-DA5D-4E6A-989F-EFA621E17423}">
            <xm:f>$J$103=Formeln!$A$1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J103:K103</xm:sqref>
        </x14:conditionalFormatting>
        <x14:conditionalFormatting xmlns:xm="http://schemas.microsoft.com/office/excel/2006/main">
          <x14:cfRule type="expression" priority="106" id="{7042C878-54FD-48B3-8E67-1722AB3E733B}">
            <xm:f>$J$72=Formeln!$A$1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J72:K72</xm:sqref>
        </x14:conditionalFormatting>
        <x14:conditionalFormatting xmlns:xm="http://schemas.microsoft.com/office/excel/2006/main">
          <x14:cfRule type="expression" priority="105" id="{A8C9E1D5-9E24-4709-AB41-E53DCA36D4BD}">
            <xm:f>$J$73=Formeln!$A$1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J73:K73</xm:sqref>
        </x14:conditionalFormatting>
        <x14:conditionalFormatting xmlns:xm="http://schemas.microsoft.com/office/excel/2006/main">
          <x14:cfRule type="expression" priority="58" id="{15A9260F-3BDA-4275-B352-6946533EF2C3}">
            <xm:f>$J$48=Formeln!$A$174</xm:f>
            <x14:dxf>
              <font>
                <color theme="0" tint="-0.34998626667073579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57" id="{3CBA8DC8-F6F5-4468-9659-70B8EE241F5A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47" id="{C238ECFA-031C-4CB9-A9CD-B28DACC974E9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21" id="{147ED8EB-41B1-4659-B21F-A3BC8D7D4A5B}">
            <xm:f>$J$70=Formeln!$A$174</xm:f>
            <x14:dxf>
              <font>
                <color theme="0" tint="-0.34998626667073579"/>
              </font>
            </x14:dxf>
          </x14:cfRule>
          <xm:sqref>A70:B70 D70:K70</xm:sqref>
        </x14:conditionalFormatting>
        <x14:conditionalFormatting xmlns:xm="http://schemas.microsoft.com/office/excel/2006/main">
          <x14:cfRule type="expression" priority="20" id="{7356F648-D6B3-4A24-8D22-35B553410BDF}">
            <xm:f>$J$80=Formeln!$A$174</xm:f>
            <x14:dxf>
              <font>
                <color theme="0" tint="-0.34998626667073579"/>
              </font>
            </x14:dxf>
          </x14:cfRule>
          <xm:sqref>J80:K80</xm:sqref>
        </x14:conditionalFormatting>
        <x14:conditionalFormatting xmlns:xm="http://schemas.microsoft.com/office/excel/2006/main">
          <x14:cfRule type="expression" priority="19" id="{FF3C8476-8C64-4D88-B9D4-967F560DCBD2}">
            <xm:f>$J$53=Formeln!$A$174</xm:f>
            <x14:dxf>
              <font>
                <color theme="0" tint="-0.34998626667073579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4" id="{5D3D5CF1-B8C0-4179-B4A3-C22258B5DD62}">
            <xm:f>$J$92=Formeln!$A$174</xm:f>
            <x14:dxf>
              <font>
                <color theme="0" tint="-0.34998626667073579"/>
              </font>
            </x14:dxf>
          </x14:cfRule>
          <xm:sqref>D94</xm:sqref>
        </x14:conditionalFormatting>
        <x14:conditionalFormatting xmlns:xm="http://schemas.microsoft.com/office/excel/2006/main">
          <x14:cfRule type="expression" priority="12" id="{2E61C0F6-6F6F-46FE-947B-E0896994D016}">
            <xm:f>$J$69=Formeln!$A$174</xm:f>
            <x14:dxf>
              <font>
                <color theme="0" tint="-0.34998626667073579"/>
              </font>
            </x14:dxf>
          </x14:cfRule>
          <xm:sqref>A93:B93 J93:K93</xm:sqref>
        </x14:conditionalFormatting>
        <x14:conditionalFormatting xmlns:xm="http://schemas.microsoft.com/office/excel/2006/main">
          <x14:cfRule type="expression" priority="10" id="{FB648CD5-8583-4890-BD9D-B4207E111D99}">
            <xm:f>$J$84=Formeln!$A$174</xm:f>
            <x14:dxf>
              <font>
                <color theme="0" tint="-0.34998626667073579"/>
              </font>
            </x14:dxf>
          </x14:cfRule>
          <xm:sqref>E93:I93</xm:sqref>
        </x14:conditionalFormatting>
        <x14:conditionalFormatting xmlns:xm="http://schemas.microsoft.com/office/excel/2006/main">
          <x14:cfRule type="expression" priority="9" id="{08BD8935-78AB-4827-9B12-7FCFD918A5D6}">
            <xm:f>$J$84=Formeln!$A$174</xm:f>
            <x14:dxf>
              <font>
                <color theme="0" tint="-0.34998626667073579"/>
              </font>
            </x14:dxf>
          </x14:cfRule>
          <xm:sqref>D93</xm:sqref>
        </x14:conditionalFormatting>
        <x14:conditionalFormatting xmlns:xm="http://schemas.microsoft.com/office/excel/2006/main">
          <x14:cfRule type="expression" priority="6" id="{52AAE143-E4A6-49E2-9036-EE1701F5FB63}">
            <xm:f>$J$108=Formeln!$A$174</xm:f>
            <x14:dxf>
              <font>
                <color theme="0" tint="-0.34998626667073579"/>
              </font>
            </x14:dxf>
          </x14:cfRule>
          <xm:sqref>A109:B109 E109:I109</xm:sqref>
        </x14:conditionalFormatting>
        <x14:conditionalFormatting xmlns:xm="http://schemas.microsoft.com/office/excel/2006/main">
          <x14:cfRule type="expression" priority="3" id="{6A64F2EA-C183-43DB-8B96-0F1E6690AAC8}">
            <xm:f>$J$108=Formeln!$A$174</xm:f>
            <x14:dxf>
              <font>
                <color theme="0" tint="-0.34998626667073579"/>
              </font>
            </x14:dxf>
          </x14:cfRule>
          <xm:sqref>A110:B110 E110:I110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900-000000000000}">
          <x14:formula1>
            <xm:f>Formeln!$A$149:$A$152</xm:f>
          </x14:formula1>
          <xm:sqref>J72:K72</xm:sqref>
        </x14:dataValidation>
        <x14:dataValidation type="list" allowBlank="1" showInputMessage="1" showErrorMessage="1" xr:uid="{00000000-0002-0000-0900-000001000000}">
          <x14:formula1>
            <xm:f>Formeln!$A$156:$A$158</xm:f>
          </x14:formula1>
          <xm:sqref>J75:K75</xm:sqref>
        </x14:dataValidation>
        <x14:dataValidation type="list" allowBlank="1" showInputMessage="1" showErrorMessage="1" xr:uid="{00000000-0002-0000-0900-000002000000}">
          <x14:formula1>
            <xm:f>Formeln!$E$175:$E$177</xm:f>
          </x14:formula1>
          <xm:sqref>J40:K40</xm:sqref>
        </x14:dataValidation>
        <x14:dataValidation type="list" allowBlank="1" showInputMessage="1" showErrorMessage="1" xr:uid="{00000000-0002-0000-0900-000003000000}">
          <x14:formula1>
            <xm:f>Formeln!$E$164:$E$167</xm:f>
          </x14:formula1>
          <xm:sqref>J38:K38</xm:sqref>
        </x14:dataValidation>
        <x14:dataValidation type="list" allowBlank="1" showInputMessage="1" showErrorMessage="1" xr:uid="{00000000-0002-0000-0900-000004000000}">
          <x14:formula1>
            <xm:f>Formeln!$A$239:$A$242</xm:f>
          </x14:formula1>
          <xm:sqref>J88:K88</xm:sqref>
        </x14:dataValidation>
        <x14:dataValidation type="list" allowBlank="1" showInputMessage="1" showErrorMessage="1" xr:uid="{00000000-0002-0000-0900-000005000000}">
          <x14:formula1>
            <xm:f>Formeln!$A$254:$A$256</xm:f>
          </x14:formula1>
          <xm:sqref>J90:K90</xm:sqref>
        </x14:dataValidation>
        <x14:dataValidation type="list" allowBlank="1" showInputMessage="1" showErrorMessage="1" xr:uid="{00000000-0002-0000-0900-000006000000}">
          <x14:formula1>
            <xm:f>Formeln!$A$263:$A$265</xm:f>
          </x14:formula1>
          <xm:sqref>J101:K101</xm:sqref>
        </x14:dataValidation>
        <x14:dataValidation type="list" allowBlank="1" showInputMessage="1" showErrorMessage="1" xr:uid="{00000000-0002-0000-0900-000007000000}">
          <x14:formula1>
            <xm:f>Formeln!$A$268:$A$270</xm:f>
          </x14:formula1>
          <xm:sqref>J103:K103</xm:sqref>
        </x14:dataValidation>
        <x14:dataValidation type="list" allowBlank="1" showInputMessage="1" showErrorMessage="1" xr:uid="{00000000-0002-0000-0900-000008000000}">
          <x14:formula1>
            <xm:f>Formeln!$A$277:$A$280</xm:f>
          </x14:formula1>
          <xm:sqref>J73:K73</xm:sqref>
        </x14:dataValidation>
        <x14:dataValidation type="list" allowBlank="1" showInputMessage="1" showErrorMessage="1" xr:uid="{00000000-0002-0000-0900-000009000000}">
          <x14:formula1>
            <xm:f>Formeln!$G$189:$G$192</xm:f>
          </x14:formula1>
          <xm:sqref>J94:K94</xm:sqref>
        </x14:dataValidation>
        <x14:dataValidation type="list" allowBlank="1" showInputMessage="1" showErrorMessage="1" xr:uid="{00000000-0002-0000-0900-00000A000000}">
          <x14:formula1>
            <xm:f>Formeln!$A$281:$A$283</xm:f>
          </x14:formula1>
          <xm:sqref>J71:K71</xm:sqref>
        </x14:dataValidation>
        <x14:dataValidation type="list" allowBlank="1" showInputMessage="1" showErrorMessage="1" xr:uid="{00000000-0002-0000-0900-00000B000000}">
          <x14:formula1>
            <xm:f>Formeln!$A$289:$A$291</xm:f>
          </x14:formula1>
          <xm:sqref>J95:K95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FZ18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27" width="8.6640625" style="1" hidden="1" customWidth="1"/>
    <col min="28" max="28" width="9" style="1" hidden="1" customWidth="1"/>
    <col min="29" max="182" width="0" style="1" hidden="1" customWidth="1"/>
    <col min="183" max="16384" width="8.6640625" style="1" hidden="1"/>
  </cols>
  <sheetData>
    <row r="1" spans="1:18" ht="28.2">
      <c r="M1" s="2" t="str">
        <f>VLOOKUP("DACHRINNENSYSTEME",Sprachindex!A:Z,Info!$O$6,FALSE)</f>
        <v>DACHRINNENSYSTEME</v>
      </c>
    </row>
    <row r="2" spans="1:18" ht="28.2">
      <c r="D2" s="19"/>
      <c r="M2" s="2" t="str">
        <f>VLOOKUP("DACHENTWÄSSERUNG P.10",Sprachindex!A:Z,Info!$O$6,FALSE)</f>
        <v>DACHENTWÄSSERUNG P.10</v>
      </c>
    </row>
    <row r="3" spans="1:18" ht="15" customHeight="1"/>
    <row r="4" spans="1:18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8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ODER EMAIL:</v>
      </c>
      <c r="K5" s="254"/>
      <c r="L5" s="255"/>
      <c r="M5" s="256"/>
      <c r="N5" s="87"/>
      <c r="Q5" s="3"/>
    </row>
    <row r="6" spans="1:18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Datum:</v>
      </c>
      <c r="K6" s="254"/>
      <c r="L6" s="255"/>
      <c r="M6" s="256"/>
      <c r="N6" s="119"/>
      <c r="Q6" s="3"/>
    </row>
    <row r="7" spans="1:18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Bestellnummer:</v>
      </c>
      <c r="K7" s="254"/>
      <c r="L7" s="255"/>
      <c r="M7" s="256"/>
      <c r="N7" s="119"/>
      <c r="Q7" s="3"/>
    </row>
    <row r="8" spans="1:18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8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I9" s="87"/>
      <c r="J9" s="85"/>
      <c r="K9" s="86"/>
      <c r="L9" s="85" t="str">
        <f>VLOOKUP("glatt",Sprachindex!A:Z,Info!$O$6,FALSE)</f>
        <v>glatt</v>
      </c>
      <c r="M9" s="86"/>
      <c r="N9" s="119"/>
      <c r="O9" s="11"/>
      <c r="Q9" s="4"/>
    </row>
    <row r="10" spans="1:18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8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119"/>
      <c r="O11" s="11"/>
      <c r="Q11" s="4"/>
    </row>
    <row r="12" spans="1:18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8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12"/>
      <c r="Q13" s="4"/>
    </row>
    <row r="14" spans="1:18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8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K15" s="86"/>
      <c r="L15" s="113" t="str">
        <f>VLOOKUP("Ablaufdimension:",Sprachindex!A:Z,Info!$O$6,FALSE)</f>
        <v>Ablaufdimension:</v>
      </c>
      <c r="M15" s="86"/>
      <c r="N15" s="87"/>
      <c r="R15" s="86"/>
    </row>
    <row r="16" spans="1:18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K16" s="85"/>
      <c r="L16" s="234" t="str">
        <f>VLOOKUP("60 ⌀",Sprachindex!A:Z,Info!$O$6,FALSE)</f>
        <v>60 ⌀</v>
      </c>
      <c r="M16" s="86" t="str">
        <f>VLOOKUP("100 ⌀",Sprachindex!A:Z,Info!$O$6,FALSE)</f>
        <v>100 ⌀</v>
      </c>
      <c r="N16" s="119">
        <v>7</v>
      </c>
      <c r="R16" s="86"/>
    </row>
    <row r="17" spans="1:100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K17" s="127"/>
      <c r="L17" s="234" t="str">
        <f>VLOOKUP("80 ⌀",Sprachindex!A:Z,Info!$O$6,FALSE)</f>
        <v>80 ⌀</v>
      </c>
      <c r="M17" s="86" t="str">
        <f>VLOOKUP("120 ⌀",Sprachindex!A:Z,Info!$O$6,FALSE)</f>
        <v>120 ⌀</v>
      </c>
      <c r="N17" s="119"/>
      <c r="R17" s="86"/>
    </row>
    <row r="18" spans="1:100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J18" s="86"/>
      <c r="N18" s="119"/>
      <c r="R18" s="86"/>
    </row>
    <row r="19" spans="1:100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VLOOKUP("07 P.10 hellgrau ",Sprachindex!A:Z,Info!$O$6,FALSE)</f>
        <v xml:space="preserve">07 P.10 hellgrau </v>
      </c>
      <c r="J19" s="86"/>
      <c r="L19" s="113" t="str">
        <f>VLOOKUP("Rinnendimension:",Sprachindex!A:Z,Info!$O$6,FALSE)</f>
        <v>Rinnendimension:</v>
      </c>
      <c r="M19" s="5"/>
      <c r="N19" s="87"/>
      <c r="R19" s="86"/>
    </row>
    <row r="20" spans="1:100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VLOOKUP("10 P.10 prefaweiß",Sprachindex!A:Z,Info!$O$6,FALSE)</f>
        <v>10 P.10 prefaweiß</v>
      </c>
      <c r="H20" s="86"/>
      <c r="I20" s="85"/>
      <c r="J20" s="86"/>
      <c r="L20" s="234">
        <f>VLOOKUP(250,Sprachindex!A:Z,Info!$O$6,FALSE)</f>
        <v>250</v>
      </c>
      <c r="M20" s="85">
        <f>VLOOKUP(333,Sprachindex!A:Z,Info!$O$6,FALSE)</f>
        <v>333</v>
      </c>
      <c r="N20" s="87"/>
      <c r="Q20" s="4"/>
    </row>
    <row r="21" spans="1:100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VLOOKUP("11 P.10 nussbraun",Sprachindex!A:Z,Info!$O$6,FALSE)</f>
        <v>11 P.10 nussbraun</v>
      </c>
      <c r="H21" s="86"/>
      <c r="I21" s="86"/>
      <c r="J21" s="86"/>
      <c r="L21" s="234">
        <f>VLOOKUP(280,Sprachindex!A:Z,Info!$O$6,FALSE)</f>
        <v>280</v>
      </c>
      <c r="M21" s="85">
        <f>VLOOKUP(400,Sprachindex!A:Z,Info!$O$6,FALSE)</f>
        <v>400</v>
      </c>
      <c r="Q21" s="4"/>
    </row>
    <row r="22" spans="1:100" ht="15" customHeight="1">
      <c r="A22" s="86"/>
      <c r="B22" s="90"/>
      <c r="C22" s="86"/>
      <c r="D22" s="86"/>
      <c r="E22" s="86"/>
      <c r="F22" s="86"/>
      <c r="G22" s="86" t="str">
        <f>VLOOKUP("19 P.10 dunkelgrau",Sprachindex!A:Z,Info!$O$6,FALSE)</f>
        <v>19 P.10 dunkelgrau</v>
      </c>
      <c r="H22" s="86"/>
      <c r="I22" s="86"/>
      <c r="J22" s="86"/>
      <c r="Q22" s="4"/>
    </row>
    <row r="23" spans="1:100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I23" s="86"/>
      <c r="J23" s="106" t="str">
        <f>VLOOKUP("techn. Ausarbeitung PREFA:",Sprachindex!A:Z,Info!$O$6,FALSE)</f>
        <v>techn. Ausarbeitung PREFA:</v>
      </c>
      <c r="N23" s="87"/>
      <c r="O23" s="56"/>
      <c r="P23" s="56"/>
      <c r="Q23" s="14"/>
    </row>
    <row r="24" spans="1:100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J24" s="90" t="str">
        <f>VLOOKUP("Bearbeiter:",Sprachindex!A:Z,Info!$O$6,FALSE)</f>
        <v>Bearbeiter:</v>
      </c>
      <c r="K24" s="254"/>
      <c r="L24" s="255"/>
      <c r="M24" s="256"/>
      <c r="N24" s="87"/>
      <c r="O24" s="56"/>
      <c r="P24" s="56"/>
      <c r="Q24" s="14"/>
    </row>
    <row r="25" spans="1:100" s="5" customFormat="1" ht="15" customHeight="1">
      <c r="A25" s="1"/>
      <c r="B25" s="283"/>
      <c r="C25" s="254"/>
      <c r="D25" s="255"/>
      <c r="E25" s="256"/>
      <c r="J25" s="90" t="str">
        <f>VLOOKUP("Telefon:",Sprachindex!A:Z,Info!$O$6,FALSE)</f>
        <v>Telefon:</v>
      </c>
      <c r="K25" s="254"/>
      <c r="L25" s="255"/>
      <c r="M25" s="256"/>
      <c r="N25" s="87"/>
      <c r="O25" s="56"/>
      <c r="P25" s="56"/>
      <c r="Q25" s="14"/>
    </row>
    <row r="26" spans="1:100" s="5" customFormat="1" ht="15" customHeight="1">
      <c r="A26" s="1"/>
      <c r="B26" s="283"/>
      <c r="C26" s="254"/>
      <c r="D26" s="255"/>
      <c r="E26" s="256"/>
      <c r="J26" s="90" t="str">
        <f>VLOOKUP("eMail:",Sprachindex!A:Z,Info!$O$6,FALSE)</f>
        <v>eMail:</v>
      </c>
      <c r="K26" s="254"/>
      <c r="L26" s="255"/>
      <c r="M26" s="256"/>
      <c r="N26" s="87"/>
      <c r="O26" s="56"/>
      <c r="P26" s="56"/>
      <c r="Q26" s="14"/>
    </row>
    <row r="27" spans="1:100" s="5" customFormat="1" ht="15" customHeight="1">
      <c r="A27" s="1"/>
      <c r="B27" s="283"/>
      <c r="C27" s="254"/>
      <c r="D27" s="255"/>
      <c r="E27" s="256"/>
      <c r="L27" s="86"/>
      <c r="M27" s="86"/>
      <c r="N27" s="87"/>
      <c r="O27" s="56"/>
      <c r="P27" s="56"/>
      <c r="Q27" s="14"/>
    </row>
    <row r="28" spans="1:100" ht="15" customHeight="1">
      <c r="A28" s="86"/>
      <c r="B28" s="90"/>
      <c r="C28" s="86"/>
      <c r="D28" s="86"/>
      <c r="E28" s="86"/>
      <c r="J28" s="86"/>
      <c r="K28" s="86"/>
      <c r="L28" s="86"/>
      <c r="M28" s="86"/>
      <c r="N28" s="87"/>
      <c r="Q28" s="4"/>
    </row>
    <row r="29" spans="1:100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N29" s="87"/>
      <c r="P29" s="282" t="s">
        <v>24</v>
      </c>
      <c r="Q29" s="282"/>
      <c r="R29" s="282" t="s">
        <v>369</v>
      </c>
      <c r="S29" s="282"/>
    </row>
    <row r="30" spans="1:100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N30" s="87"/>
      <c r="O30" s="1"/>
      <c r="P30" s="209" t="s">
        <v>27</v>
      </c>
      <c r="Q30" s="209" t="s">
        <v>28</v>
      </c>
      <c r="R30" s="209" t="s">
        <v>27</v>
      </c>
      <c r="S30" s="209" t="s">
        <v>28</v>
      </c>
      <c r="T30" s="49" t="s">
        <v>74</v>
      </c>
      <c r="U30" s="49" t="s">
        <v>1078</v>
      </c>
      <c r="V30" s="49" t="s">
        <v>76</v>
      </c>
      <c r="W30" s="49" t="s">
        <v>79</v>
      </c>
      <c r="X30" s="49" t="s">
        <v>84</v>
      </c>
      <c r="Y30" s="49" t="s">
        <v>81</v>
      </c>
      <c r="Z30" s="49" t="s">
        <v>1079</v>
      </c>
      <c r="AA30" s="49"/>
      <c r="AB30" s="74"/>
      <c r="AC30" s="49" t="s">
        <v>74</v>
      </c>
      <c r="AD30" s="49" t="s">
        <v>1078</v>
      </c>
      <c r="AE30" s="49" t="s">
        <v>76</v>
      </c>
      <c r="AF30" s="49" t="s">
        <v>79</v>
      </c>
      <c r="AG30" s="49" t="s">
        <v>84</v>
      </c>
      <c r="AH30" s="49" t="s">
        <v>81</v>
      </c>
      <c r="AI30" s="49" t="s">
        <v>1079</v>
      </c>
      <c r="AJ30" s="49"/>
      <c r="AK30" s="74"/>
      <c r="AL30" s="49" t="s">
        <v>74</v>
      </c>
      <c r="AM30" s="49" t="s">
        <v>1078</v>
      </c>
      <c r="AN30" s="49" t="s">
        <v>76</v>
      </c>
      <c r="AO30" s="49" t="s">
        <v>79</v>
      </c>
      <c r="AP30" s="49" t="s">
        <v>84</v>
      </c>
      <c r="AQ30" s="49" t="s">
        <v>81</v>
      </c>
      <c r="AR30" s="49" t="s">
        <v>1079</v>
      </c>
      <c r="AS30" s="49"/>
      <c r="AT30" s="74"/>
      <c r="AU30" s="49" t="s">
        <v>74</v>
      </c>
      <c r="AV30" s="49" t="s">
        <v>1078</v>
      </c>
      <c r="AW30" s="49" t="s">
        <v>76</v>
      </c>
      <c r="AX30" s="49" t="s">
        <v>79</v>
      </c>
      <c r="AY30" s="49" t="s">
        <v>84</v>
      </c>
      <c r="AZ30" s="49" t="s">
        <v>81</v>
      </c>
      <c r="BA30" s="49" t="s">
        <v>1079</v>
      </c>
      <c r="BB30" s="49"/>
      <c r="BC30" s="74"/>
      <c r="BD30" s="49" t="s">
        <v>74</v>
      </c>
      <c r="BE30" s="49" t="s">
        <v>1078</v>
      </c>
      <c r="BF30" s="49" t="s">
        <v>76</v>
      </c>
      <c r="BG30" s="49" t="s">
        <v>79</v>
      </c>
      <c r="BH30" s="49" t="s">
        <v>84</v>
      </c>
      <c r="BI30" s="49" t="s">
        <v>81</v>
      </c>
      <c r="BJ30" s="49" t="s">
        <v>1079</v>
      </c>
      <c r="BK30" s="49"/>
      <c r="BL30" s="74"/>
      <c r="BM30" s="49" t="s">
        <v>74</v>
      </c>
      <c r="BN30" s="49" t="s">
        <v>1078</v>
      </c>
      <c r="BO30" s="49" t="s">
        <v>76</v>
      </c>
      <c r="BP30" s="49" t="s">
        <v>79</v>
      </c>
      <c r="BQ30" s="49" t="s">
        <v>84</v>
      </c>
      <c r="BR30" s="49" t="s">
        <v>81</v>
      </c>
      <c r="BS30" s="49" t="s">
        <v>1079</v>
      </c>
      <c r="BT30" s="49"/>
      <c r="BU30" s="74"/>
      <c r="BV30" s="49" t="s">
        <v>74</v>
      </c>
      <c r="BW30" s="49" t="s">
        <v>1078</v>
      </c>
      <c r="BX30" s="49" t="s">
        <v>76</v>
      </c>
      <c r="BY30" s="49" t="s">
        <v>79</v>
      </c>
      <c r="BZ30" s="49" t="s">
        <v>84</v>
      </c>
      <c r="CA30" s="49" t="s">
        <v>81</v>
      </c>
      <c r="CB30" s="49" t="s">
        <v>1079</v>
      </c>
      <c r="CC30" s="49"/>
      <c r="CD30" s="74"/>
      <c r="CE30" s="49" t="s">
        <v>74</v>
      </c>
      <c r="CF30" s="49" t="s">
        <v>1078</v>
      </c>
      <c r="CG30" s="49" t="s">
        <v>76</v>
      </c>
      <c r="CH30" s="49" t="s">
        <v>79</v>
      </c>
      <c r="CI30" s="49" t="s">
        <v>84</v>
      </c>
      <c r="CJ30" s="49" t="s">
        <v>81</v>
      </c>
      <c r="CK30" s="49" t="s">
        <v>1079</v>
      </c>
      <c r="CL30" s="49"/>
      <c r="CM30" s="74"/>
      <c r="CN30" s="49" t="s">
        <v>74</v>
      </c>
      <c r="CO30" s="49" t="s">
        <v>1078</v>
      </c>
      <c r="CP30" s="49" t="s">
        <v>76</v>
      </c>
      <c r="CQ30" s="49" t="s">
        <v>79</v>
      </c>
      <c r="CR30" s="49" t="s">
        <v>84</v>
      </c>
      <c r="CS30" s="49" t="s">
        <v>81</v>
      </c>
      <c r="CT30" s="49" t="s">
        <v>1079</v>
      </c>
      <c r="CU30" s="49"/>
      <c r="CV30" s="74"/>
    </row>
    <row r="31" spans="1:100" ht="32.1" customHeight="1">
      <c r="A31" s="131"/>
      <c r="B31" s="96" t="str">
        <f>VLOOKUP("lfm",Sprachindex!A:Z,Info!$O$6,FALSE)</f>
        <v>lfm</v>
      </c>
      <c r="C31" s="129"/>
      <c r="D31" s="95" t="str">
        <f>IF($N$17=1,AA31,IF($N$17=2,AJ31,IF($N$17=3,AS31,IF($N$17=4,BB31,""))))</f>
        <v/>
      </c>
      <c r="E31" s="288" t="str">
        <f>VLOOKUP("Dachrinne 3 m",Sprachindex!A:Z,Info!$O$6,FALSE)</f>
        <v>Dachrinne 3 m</v>
      </c>
      <c r="F31" s="289"/>
      <c r="G31" s="289"/>
      <c r="H31" s="289"/>
      <c r="I31" s="164"/>
      <c r="J31" s="305"/>
      <c r="K31" s="306"/>
      <c r="L31" s="96" t="str">
        <f>IF(OR(A31="",R31="",S31="")," ",IF($N$11=1,$P31,IF($N$11=2,Q31,0)))</f>
        <v xml:space="preserve"> </v>
      </c>
      <c r="M31" s="130"/>
      <c r="N31" s="87"/>
      <c r="O31" s="1"/>
      <c r="P31" s="191" t="e">
        <f>ROUNDUP($A31/$R31,0)*$R31 &amp; "  " &amp; Formeln_RI_P.10!$A$112 &amp; "                     " &amp; " (" &amp; ROUNDUP($A31/$R31,0)*$R31/$S31 &amp; " " &amp; Formeln_RI_P.10!$A$111 &amp; ")"</f>
        <v>#VALUE!</v>
      </c>
      <c r="Q31" s="191" t="str">
        <f>ROUNDUP($A31/$S31,0)*$S31 &amp; "  " &amp; Formeln_RI_P.10!$A$112 &amp; "                     " &amp; " (" &amp; ROUNDUP($A31/$S31,0)*$S31/$S31 &amp; " " &amp; Formeln_RI_P.10!$A$111 &amp; ")"</f>
        <v>0  lfm                      (0 STK)</v>
      </c>
      <c r="R31" s="191" t="str">
        <f>IF($N$17="","",IF($N$17=1,60,IF($N$17=2,45,IF($N$17=3,45,IF($N$17=4,30,"")))))</f>
        <v/>
      </c>
      <c r="S31" s="191">
        <v>3</v>
      </c>
      <c r="T31" s="64" t="s">
        <v>1080</v>
      </c>
      <c r="U31" s="64" t="s">
        <v>1081</v>
      </c>
      <c r="V31" s="64" t="s">
        <v>1082</v>
      </c>
      <c r="W31" s="64" t="s">
        <v>1083</v>
      </c>
      <c r="X31" s="64" t="s">
        <v>1084</v>
      </c>
      <c r="Y31" s="64" t="s">
        <v>1085</v>
      </c>
      <c r="Z31" s="64" t="s">
        <v>1086</v>
      </c>
      <c r="AA31" s="74" t="str">
        <f t="shared" ref="AA31:AA62" si="0">IF($N$16=1,T31,IF($N$16=2,U31,IF($N$16=3,V31,IF($N$16=4,W31,IF($N$16=5,X31,IF($N$16=6,Y31,IF($N$16=7,Z31,0)))))))</f>
        <v>210023</v>
      </c>
      <c r="AB31" s="74" t="s">
        <v>372</v>
      </c>
      <c r="AC31" s="64" t="s">
        <v>1087</v>
      </c>
      <c r="AD31" s="64" t="s">
        <v>1088</v>
      </c>
      <c r="AE31" s="64" t="s">
        <v>1089</v>
      </c>
      <c r="AF31" s="64" t="s">
        <v>1090</v>
      </c>
      <c r="AG31" s="64" t="s">
        <v>1091</v>
      </c>
      <c r="AH31" s="64" t="s">
        <v>1092</v>
      </c>
      <c r="AI31" s="64" t="s">
        <v>1093</v>
      </c>
      <c r="AJ31" s="74" t="str">
        <f>IF($N$16=1,AC31,IF($N$16=2,AD31,IF($N$16=3,AE31,IF($N$16=4,AF31,IF($N$16=5,AG31,IF($N$16=6,AH31,IF($N$16=7,AI31,0)))))))</f>
        <v>210063</v>
      </c>
      <c r="AK31" s="74" t="s">
        <v>373</v>
      </c>
      <c r="AL31" s="64" t="s">
        <v>1094</v>
      </c>
      <c r="AM31" s="64" t="s">
        <v>1095</v>
      </c>
      <c r="AN31" s="64" t="s">
        <v>1095</v>
      </c>
      <c r="AO31" s="64" t="s">
        <v>1096</v>
      </c>
      <c r="AP31" s="64" t="s">
        <v>1097</v>
      </c>
      <c r="AQ31" s="64" t="s">
        <v>1098</v>
      </c>
      <c r="AR31" s="64" t="s">
        <v>1099</v>
      </c>
      <c r="AS31" s="74" t="str">
        <f t="shared" ref="AS31:AS35" si="1">IF($N$16=1,AL31,IF($N$16=2,AM31,IF($N$16=3,AN31,IF($N$16=4,AO31,IF($N$16=5,AP31,IF($N$16=6,AQ31,IF($N$16=7,AR31,0)))))))</f>
        <v>210103</v>
      </c>
      <c r="AT31" s="74" t="s">
        <v>374</v>
      </c>
      <c r="AU31" s="64" t="s">
        <v>1100</v>
      </c>
      <c r="AV31" s="64" t="s">
        <v>1101</v>
      </c>
      <c r="AW31" s="64" t="s">
        <v>1102</v>
      </c>
      <c r="AX31" s="64" t="s">
        <v>1103</v>
      </c>
      <c r="AY31" s="64" t="s">
        <v>1104</v>
      </c>
      <c r="AZ31" s="64" t="s">
        <v>1105</v>
      </c>
      <c r="BA31" s="64" t="s">
        <v>1106</v>
      </c>
      <c r="BB31" s="74" t="str">
        <f t="shared" ref="BB31:BB33" si="2">IF($N$16=1,AU31,IF($N$16=2,AV31,IF($N$16=3,AW31,IF($N$16=4,AX31,IF($N$16=5,AY31,IF($N$16=6,AZ31,IF($N$16=7,BA31,0)))))))</f>
        <v>210143</v>
      </c>
      <c r="BC31" s="74" t="s">
        <v>375</v>
      </c>
      <c r="BD31" s="64"/>
      <c r="BE31" s="64"/>
      <c r="BF31" s="64"/>
      <c r="BG31" s="64"/>
      <c r="BH31" s="64"/>
      <c r="BI31" s="64"/>
      <c r="BJ31" s="64"/>
      <c r="BK31" s="74"/>
      <c r="BL31" s="74"/>
      <c r="BM31" s="64"/>
      <c r="BN31" s="64"/>
      <c r="BO31" s="64"/>
      <c r="BP31" s="64"/>
      <c r="BQ31" s="64"/>
      <c r="BR31" s="64"/>
      <c r="BS31" s="64"/>
      <c r="BT31" s="74"/>
      <c r="BU31" s="74"/>
      <c r="BV31" s="64"/>
      <c r="BW31" s="64"/>
      <c r="BX31" s="64"/>
      <c r="BY31" s="64"/>
      <c r="BZ31" s="64"/>
      <c r="CA31" s="64"/>
      <c r="CB31" s="64"/>
      <c r="CC31" s="74"/>
      <c r="CD31" s="74"/>
      <c r="CE31" s="64"/>
      <c r="CF31" s="64"/>
      <c r="CG31" s="64"/>
      <c r="CH31" s="64"/>
      <c r="CI31" s="64"/>
      <c r="CJ31" s="64"/>
      <c r="CK31" s="64"/>
      <c r="CL31" s="74"/>
      <c r="CM31" s="74"/>
      <c r="CU31" s="74"/>
      <c r="CV31" s="74"/>
    </row>
    <row r="32" spans="1:100" ht="32.1" customHeight="1">
      <c r="A32" s="131"/>
      <c r="B32" s="96" t="s">
        <v>441</v>
      </c>
      <c r="C32" s="129"/>
      <c r="D32" s="95" t="str">
        <f>IF($N$17=1,AA32,IF($N$17=2,AJ32,IF($N$17=3,AS32,IF($N$17=4,BB32,""))))</f>
        <v/>
      </c>
      <c r="E32" s="311" t="str">
        <f>VLOOKUP("Dachrinne 6 m",Sprachindex!A:Z,Info!$O$6,FALSE)</f>
        <v>Dachrinne 6 m</v>
      </c>
      <c r="F32" s="312"/>
      <c r="G32" s="312"/>
      <c r="H32" s="312"/>
      <c r="I32" s="220"/>
      <c r="J32" s="305"/>
      <c r="K32" s="306"/>
      <c r="L32" s="96" t="str">
        <f>IF(OR(A32="",R32="",S32="")," ",IF($N$11=1,$P32,IF($N$11=2,Q32,0)))</f>
        <v xml:space="preserve"> </v>
      </c>
      <c r="M32" s="130"/>
      <c r="N32" s="87"/>
      <c r="O32" s="1"/>
      <c r="P32" s="191" t="e">
        <f>ROUNDUP($A32/$R32,0)*$R32 &amp; "  " &amp; Formeln_RI_P.10!$A$112 &amp; "                     " &amp; " (" &amp; ROUNDUP($A32/$R32,0)*$R32/$S32 &amp; " " &amp; Formeln_RI_P.10!$A$111 &amp; ")"</f>
        <v>#VALUE!</v>
      </c>
      <c r="Q32" s="191" t="str">
        <f>ROUNDUP($A32/$S32,0)*$S32 &amp; "  " &amp; Formeln_RI_P.10!$A$112 &amp; "                     " &amp; " (" &amp; ROUNDUP($A32/$S32,0)*$S32/$S32 &amp; " " &amp; Formeln_RI_P.10!$A$111 &amp; ")"</f>
        <v>0  lfm                      (0 STK)</v>
      </c>
      <c r="R32" s="191" t="str">
        <f>IF($N$17="","",30)</f>
        <v/>
      </c>
      <c r="S32" s="191">
        <v>6</v>
      </c>
      <c r="T32" s="64" t="s">
        <v>1107</v>
      </c>
      <c r="U32" s="64" t="s">
        <v>1108</v>
      </c>
      <c r="V32" s="64" t="s">
        <v>1109</v>
      </c>
      <c r="W32" s="64" t="s">
        <v>1110</v>
      </c>
      <c r="X32" s="64" t="s">
        <v>1111</v>
      </c>
      <c r="Y32" s="64" t="s">
        <v>1112</v>
      </c>
      <c r="Z32" s="64" t="s">
        <v>1113</v>
      </c>
      <c r="AA32" s="74" t="str">
        <f t="shared" si="0"/>
        <v>210003</v>
      </c>
      <c r="AB32" s="74" t="s">
        <v>376</v>
      </c>
      <c r="AC32" s="64" t="s">
        <v>1114</v>
      </c>
      <c r="AD32" s="64" t="s">
        <v>1115</v>
      </c>
      <c r="AE32" s="64" t="s">
        <v>1116</v>
      </c>
      <c r="AF32" s="64" t="s">
        <v>1117</v>
      </c>
      <c r="AG32" s="64" t="s">
        <v>1118</v>
      </c>
      <c r="AH32" s="64" t="s">
        <v>1119</v>
      </c>
      <c r="AI32" s="64" t="s">
        <v>1120</v>
      </c>
      <c r="AJ32" s="74" t="str">
        <f t="shared" ref="AJ32:AJ35" si="3">IF($N$16=1,AC32,IF($N$16=2,AD32,IF($N$16=3,AE32,IF($N$16=4,AF32,IF($N$16=5,AG32,IF($N$16=6,AH32,IF($N$16=7,AI32,0)))))))</f>
        <v>210043</v>
      </c>
      <c r="AK32" s="74" t="s">
        <v>377</v>
      </c>
      <c r="AL32" s="64" t="s">
        <v>1121</v>
      </c>
      <c r="AM32" s="64" t="s">
        <v>1122</v>
      </c>
      <c r="AN32" s="64" t="s">
        <v>1123</v>
      </c>
      <c r="AO32" s="64" t="s">
        <v>1124</v>
      </c>
      <c r="AP32" s="64" t="s">
        <v>1125</v>
      </c>
      <c r="AQ32" s="64" t="s">
        <v>1126</v>
      </c>
      <c r="AR32" s="64" t="s">
        <v>1127</v>
      </c>
      <c r="AS32" s="74" t="str">
        <f t="shared" si="1"/>
        <v>210083</v>
      </c>
      <c r="AT32" s="74" t="s">
        <v>378</v>
      </c>
      <c r="AU32" s="64" t="s">
        <v>1128</v>
      </c>
      <c r="AV32" s="64" t="s">
        <v>1129</v>
      </c>
      <c r="AW32" s="64" t="s">
        <v>1130</v>
      </c>
      <c r="AX32" s="64" t="s">
        <v>1131</v>
      </c>
      <c r="AY32" s="64" t="s">
        <v>1132</v>
      </c>
      <c r="AZ32" s="64" t="s">
        <v>1133</v>
      </c>
      <c r="BA32" s="64" t="s">
        <v>1134</v>
      </c>
      <c r="BB32" s="74" t="str">
        <f t="shared" si="2"/>
        <v>210123</v>
      </c>
      <c r="BC32" s="74" t="s">
        <v>379</v>
      </c>
      <c r="BD32" s="64"/>
      <c r="BE32" s="64"/>
      <c r="BF32" s="64"/>
      <c r="BG32" s="64"/>
      <c r="BH32" s="64"/>
      <c r="BI32" s="64"/>
      <c r="BJ32" s="64"/>
      <c r="BK32" s="74"/>
      <c r="BL32" s="74"/>
      <c r="BM32" s="64"/>
      <c r="BN32" s="64"/>
      <c r="BO32" s="64"/>
      <c r="BP32" s="64"/>
      <c r="BQ32" s="64"/>
      <c r="BR32" s="64"/>
      <c r="BS32" s="64"/>
      <c r="BT32" s="74"/>
      <c r="BU32" s="74"/>
      <c r="BV32" s="64"/>
      <c r="BW32" s="64"/>
      <c r="BX32" s="64"/>
      <c r="BY32" s="64"/>
      <c r="BZ32" s="64"/>
      <c r="CA32" s="64"/>
      <c r="CB32" s="64"/>
      <c r="CC32" s="74"/>
      <c r="CD32" s="74"/>
      <c r="CE32" s="64"/>
      <c r="CF32" s="64"/>
      <c r="CG32" s="64"/>
      <c r="CH32" s="64"/>
      <c r="CI32" s="64"/>
      <c r="CJ32" s="64"/>
      <c r="CK32" s="64"/>
      <c r="CL32" s="74"/>
      <c r="CM32" s="74"/>
      <c r="CU32" s="74"/>
      <c r="CV32" s="74"/>
    </row>
    <row r="33" spans="1:100" ht="32.1" customHeight="1">
      <c r="A33" s="131"/>
      <c r="B33" s="96" t="str">
        <f>VLOOKUP("STK",Sprachindex!A:Z,Info!$O$6,FALSE)</f>
        <v>STK</v>
      </c>
      <c r="C33" s="129"/>
      <c r="D33" s="95">
        <f>IF(AND($N$17=1,J33=Formeln_RI_P.10!E160),AA33,IF(AND($N$17=2,J33=Formeln_RI_P.10!E160),AS33,IF(AND($N$17=3,J33=Formeln_RI_P.10!E160),BT33,IF(AND($N$17=4,J33=Formeln_RI_P.10!E160),CU33,IF(AND($N$17=1,J33=Formeln_RI_P.10!E161),AJ33,IF(AND($N$17=2,J33=Formeln_RI_P.10!E161),BB33,IF(AND($N$17=3,J33=Formeln_RI_P.10!E161),CC33,IF(AND($N$17=2,J33=Formeln_RI_P.10!E162),BK33,IF(AND($N$17=3,J33=Formeln_RI_P.10!E162),CL33,0)))))))))</f>
        <v>0</v>
      </c>
      <c r="E33" s="250" t="str">
        <f>VLOOKUP("Rinnenhaken",Sprachindex!A:Z,Info!$O$6,FALSE)</f>
        <v>Rinnenhaken</v>
      </c>
      <c r="F33" s="251"/>
      <c r="G33" s="251"/>
      <c r="H33" s="251"/>
      <c r="I33" s="101" t="str">
        <f>VLOOKUP("Länge wählen:",Sprachindex!A:Z,Info!$O$6,FALSE)</f>
        <v>Länge wählen:</v>
      </c>
      <c r="J33" s="301"/>
      <c r="K33" s="302"/>
      <c r="L33" s="96" t="str">
        <f>IF(OR(A33="",R33="",S33="")," ",IF($N$11=1,P33,IF($N$11=2,Q33,0)))</f>
        <v xml:space="preserve"> </v>
      </c>
      <c r="M33" s="130"/>
      <c r="N33" s="87"/>
      <c r="O33" s="1"/>
      <c r="P33" s="191" t="e">
        <f>ROUNDUP($A33/R33,0)*R33 &amp; "  " &amp; Formeln_RI_P.10!$A$111</f>
        <v>#VALUE!</v>
      </c>
      <c r="Q33" s="191" t="str">
        <f>ROUNDUP($A33/S33,0)*S33 &amp; "  " &amp; Formeln_RI_P.10!$A$111</f>
        <v>0  STK</v>
      </c>
      <c r="R33" s="191" t="str">
        <f>IF(AND($N$17=1,$J33=VLOOKUP("normal",Sprachindex!A:Z,Info!$O$6,FALSE)),35,IF(AND($N$17=1,$J33=VLOOKUP("kurz",Sprachindex!A:Z,Info!$O$6,FALSE)),35,IF(AND($N$17=2,$J33=VLOOKUP("normal",Sprachindex!A:Z,Info!$O$6,FALSE)),30,IF(AND($N$17=2,$J33=VLOOKUP("kurz",Sprachindex!A:Z,Info!$O$6,FALSE)),30,IF(AND($N$17=2,$J33=VLOOKUP("lang",Sprachindex!A:Z,Info!$O$6,FALSE)),24,IF(AND($N$17=3,$J33=VLOOKUP("normal",Sprachindex!A:Z,Info!$O$6,FALSE)),30,IF(AND($N$17=3,$J33=VLOOKUP("kurz",Sprachindex!A:Z,Info!$O$6,FALSE)),30,IF(AND($N$17=3,$J33=VLOOKUP("lang",Sprachindex!A:Z,Info!$O$6,FALSE)),24,IF(AND($N$17=4,$J33=VLOOKUP("normal",Sprachindex!A:Z,Info!$O$6,FALSE)),18,"")))))))))</f>
        <v/>
      </c>
      <c r="S33" s="191">
        <v>1</v>
      </c>
      <c r="T33" s="64" t="s">
        <v>1135</v>
      </c>
      <c r="U33" s="64" t="s">
        <v>1136</v>
      </c>
      <c r="V33" s="64" t="s">
        <v>1137</v>
      </c>
      <c r="W33" s="64" t="s">
        <v>1138</v>
      </c>
      <c r="X33" s="64" t="s">
        <v>1139</v>
      </c>
      <c r="Y33" s="64" t="s">
        <v>1140</v>
      </c>
      <c r="Z33" s="64" t="s">
        <v>1141</v>
      </c>
      <c r="AA33" s="74" t="str">
        <f t="shared" si="0"/>
        <v>201503</v>
      </c>
      <c r="AB33" s="75" t="s">
        <v>380</v>
      </c>
      <c r="AC33" s="64" t="s">
        <v>1142</v>
      </c>
      <c r="AD33" s="64" t="s">
        <v>1143</v>
      </c>
      <c r="AE33" s="64" t="s">
        <v>1144</v>
      </c>
      <c r="AF33" s="64" t="s">
        <v>1145</v>
      </c>
      <c r="AG33" s="64" t="s">
        <v>1146</v>
      </c>
      <c r="AH33" s="64" t="s">
        <v>1147</v>
      </c>
      <c r="AI33" s="64" t="s">
        <v>1148</v>
      </c>
      <c r="AJ33" s="74" t="str">
        <f t="shared" si="3"/>
        <v>201523</v>
      </c>
      <c r="AK33" s="75" t="s">
        <v>381</v>
      </c>
      <c r="AL33" s="64" t="s">
        <v>1149</v>
      </c>
      <c r="AM33" s="64" t="s">
        <v>1150</v>
      </c>
      <c r="AN33" s="64" t="s">
        <v>1151</v>
      </c>
      <c r="AO33" s="64" t="s">
        <v>1152</v>
      </c>
      <c r="AP33" s="64" t="s">
        <v>1153</v>
      </c>
      <c r="AQ33" s="64" t="s">
        <v>1154</v>
      </c>
      <c r="AR33" s="64" t="s">
        <v>1155</v>
      </c>
      <c r="AS33" s="74" t="str">
        <f t="shared" si="1"/>
        <v>201603</v>
      </c>
      <c r="AT33" s="75" t="s">
        <v>382</v>
      </c>
      <c r="AU33" s="64" t="s">
        <v>1156</v>
      </c>
      <c r="AV33" s="64" t="s">
        <v>1157</v>
      </c>
      <c r="AW33" s="64" t="s">
        <v>1158</v>
      </c>
      <c r="AX33" s="64" t="s">
        <v>1159</v>
      </c>
      <c r="AY33" s="64" t="s">
        <v>1160</v>
      </c>
      <c r="AZ33" s="64" t="s">
        <v>1161</v>
      </c>
      <c r="BA33" s="64" t="s">
        <v>1162</v>
      </c>
      <c r="BB33" s="74" t="str">
        <f t="shared" si="2"/>
        <v>201623</v>
      </c>
      <c r="BC33" s="75" t="s">
        <v>383</v>
      </c>
      <c r="BD33" s="64" t="s">
        <v>1163</v>
      </c>
      <c r="BE33" s="64" t="s">
        <v>1164</v>
      </c>
      <c r="BF33" s="64" t="s">
        <v>1165</v>
      </c>
      <c r="BG33" s="64" t="s">
        <v>1166</v>
      </c>
      <c r="BH33" s="64" t="s">
        <v>1167</v>
      </c>
      <c r="BI33" s="64" t="s">
        <v>1168</v>
      </c>
      <c r="BJ33" s="64" t="s">
        <v>1169</v>
      </c>
      <c r="BK33" s="74" t="str">
        <f>IF($N$16=1,BD33,IF($N$16=2,BE33,IF($N$16=3,BF33,IF($N$16=4,BG33,IF($N$16=5,BH33,IF($N$16=6,BI33,IF($N$16=7,BJ33,0)))))))</f>
        <v>201643</v>
      </c>
      <c r="BL33" s="75" t="s">
        <v>384</v>
      </c>
      <c r="BM33" s="64" t="s">
        <v>1170</v>
      </c>
      <c r="BN33" s="64" t="s">
        <v>1171</v>
      </c>
      <c r="BO33" s="64" t="s">
        <v>1172</v>
      </c>
      <c r="BP33" s="64" t="s">
        <v>1173</v>
      </c>
      <c r="BQ33" s="64" t="s">
        <v>1174</v>
      </c>
      <c r="BR33" s="64" t="s">
        <v>1175</v>
      </c>
      <c r="BS33" s="64" t="s">
        <v>1176</v>
      </c>
      <c r="BT33" s="74" t="str">
        <f>IF($N$16=1,BM33,IF($N$16=2,BN33,IF($N$16=3,BO33,IF($N$16=4,BP33,IF($N$16=5,BQ33,IF($N$16=6,BR33,IF($N$16=7,BS33,0)))))))</f>
        <v>201703</v>
      </c>
      <c r="BU33" s="75" t="s">
        <v>385</v>
      </c>
      <c r="BV33" s="64" t="s">
        <v>1170</v>
      </c>
      <c r="BW33" s="64" t="s">
        <v>1171</v>
      </c>
      <c r="BX33" s="64" t="s">
        <v>1172</v>
      </c>
      <c r="BY33" s="64" t="s">
        <v>1173</v>
      </c>
      <c r="BZ33" s="64" t="s">
        <v>1174</v>
      </c>
      <c r="CA33" s="64" t="s">
        <v>1175</v>
      </c>
      <c r="CB33" s="64" t="s">
        <v>1176</v>
      </c>
      <c r="CC33" s="74" t="str">
        <f>IF($N$16=1,BV33,IF($N$16=2,BW33,IF($N$16=3,BX33,IF($N$16=4,BY33,IF($N$16=5,BZ33,IF($N$16=6,CA33,IF($N$16=7,CB33,0)))))))</f>
        <v>201703</v>
      </c>
      <c r="CD33" s="75" t="s">
        <v>386</v>
      </c>
      <c r="CE33" s="64" t="s">
        <v>1177</v>
      </c>
      <c r="CF33" s="64" t="s">
        <v>1178</v>
      </c>
      <c r="CG33" s="64" t="s">
        <v>1179</v>
      </c>
      <c r="CH33" s="64" t="s">
        <v>1180</v>
      </c>
      <c r="CI33" s="64" t="s">
        <v>1181</v>
      </c>
      <c r="CJ33" s="64" t="s">
        <v>1182</v>
      </c>
      <c r="CK33" s="64" t="s">
        <v>1183</v>
      </c>
      <c r="CL33" s="74" t="str">
        <f>IF($N$16=1,CE33,IF($N$16=2,CF33,IF($N$16=3,CG33,IF($N$16=4,CH33,IF($N$16=5,CI33,IF($N$16=6,CJ33,IF($N$16=7,CK33,0)))))))</f>
        <v>201743</v>
      </c>
      <c r="CM33" s="75" t="s">
        <v>387</v>
      </c>
      <c r="CN33" s="64" t="s">
        <v>1184</v>
      </c>
      <c r="CO33" s="64" t="s">
        <v>1185</v>
      </c>
      <c r="CP33" s="64" t="s">
        <v>1186</v>
      </c>
      <c r="CQ33" s="64" t="s">
        <v>1187</v>
      </c>
      <c r="CR33" s="64" t="s">
        <v>1188</v>
      </c>
      <c r="CS33" s="64" t="s">
        <v>1189</v>
      </c>
      <c r="CT33" s="64" t="s">
        <v>1190</v>
      </c>
      <c r="CU33" s="74" t="str">
        <f>IF($N$16=1,CN33,IF($N$16=2,CO33,IF($N$16=3,CP33,IF($N$16=4,CQ33,IF($N$16=5,CR33,IF($N$16=6,CS33,IF($N$16=7,CT33,0)))))))</f>
        <v>201903</v>
      </c>
      <c r="CV33" s="75" t="s">
        <v>388</v>
      </c>
    </row>
    <row r="34" spans="1:100" ht="32.1" customHeight="1">
      <c r="A34" s="132"/>
      <c r="B34" s="144" t="str">
        <f>VLOOKUP("STK",Sprachindex!A:Z,Info!$O$6,FALSE)</f>
        <v>STK</v>
      </c>
      <c r="C34" s="134"/>
      <c r="D34" s="134">
        <f>IF(N17=2,AJ34,IF(N17=3,AS34,IF(N17=1,AA34,0)))</f>
        <v>0</v>
      </c>
      <c r="E34" s="303" t="str">
        <f>VLOOKUP("Stirnbretthaken ",Sprachindex!A:Z,Info!$O$6,FALSE)</f>
        <v xml:space="preserve">Stirnbretthaken </v>
      </c>
      <c r="F34" s="304"/>
      <c r="G34" s="304"/>
      <c r="H34" s="304"/>
      <c r="I34" s="304"/>
      <c r="J34" s="305" t="str">
        <f>IF(N17=0,"",IF(N17=1,L20,IF(N17=2,L21,IF(N17=3,M20,Formeln_RI_P.10!A169))))</f>
        <v/>
      </c>
      <c r="K34" s="306"/>
      <c r="L34" s="96" t="str">
        <f>IF(OR(A34="",R34="",S34="")," ",IF($N$11=1,P34,IF($N$11=2,Q34,0)))</f>
        <v xml:space="preserve"> </v>
      </c>
      <c r="M34" s="135"/>
      <c r="N34" s="87"/>
      <c r="O34" s="1"/>
      <c r="P34" s="191" t="e">
        <f>ROUNDUP($A34/R34,0)*R34 &amp; "  " &amp; Formeln_RI_P.10!$A$111</f>
        <v>#VALUE!</v>
      </c>
      <c r="Q34" s="191" t="str">
        <f>ROUNDUP($A34/S34,0)*S34 &amp; "  " &amp; Formeln_RI_P.10!$A$111</f>
        <v>0  STK</v>
      </c>
      <c r="R34" s="191" t="str">
        <f>IF($N$17=1,10,IF($N$17=2,10,IF($N$17=3,10,"")))</f>
        <v/>
      </c>
      <c r="S34" s="191">
        <v>1</v>
      </c>
      <c r="T34" s="64" t="s">
        <v>1191</v>
      </c>
      <c r="U34" s="64" t="s">
        <v>1192</v>
      </c>
      <c r="V34" s="64" t="s">
        <v>1193</v>
      </c>
      <c r="W34" s="64" t="s">
        <v>1194</v>
      </c>
      <c r="X34" s="64" t="s">
        <v>1195</v>
      </c>
      <c r="Y34" s="64" t="s">
        <v>1196</v>
      </c>
      <c r="Z34" s="64" t="s">
        <v>1197</v>
      </c>
      <c r="AA34" s="74" t="str">
        <f t="shared" si="0"/>
        <v>201543</v>
      </c>
      <c r="AB34" s="75" t="s">
        <v>393</v>
      </c>
      <c r="AC34" s="64" t="s">
        <v>1198</v>
      </c>
      <c r="AD34" s="64" t="s">
        <v>1199</v>
      </c>
      <c r="AE34" s="64" t="s">
        <v>1200</v>
      </c>
      <c r="AF34" s="64" t="s">
        <v>1201</v>
      </c>
      <c r="AG34" s="64" t="s">
        <v>1202</v>
      </c>
      <c r="AH34" s="64" t="s">
        <v>1203</v>
      </c>
      <c r="AI34" s="64" t="s">
        <v>1204</v>
      </c>
      <c r="AJ34" s="74" t="str">
        <f t="shared" si="3"/>
        <v>201663</v>
      </c>
      <c r="AK34" s="75" t="s">
        <v>394</v>
      </c>
      <c r="AL34" s="64" t="s">
        <v>1205</v>
      </c>
      <c r="AM34" s="64" t="s">
        <v>1206</v>
      </c>
      <c r="AN34" s="64" t="s">
        <v>1206</v>
      </c>
      <c r="AO34" s="64" t="s">
        <v>1207</v>
      </c>
      <c r="AP34" s="64" t="s">
        <v>1208</v>
      </c>
      <c r="AQ34" s="64" t="s">
        <v>1209</v>
      </c>
      <c r="AR34" s="64" t="s">
        <v>1210</v>
      </c>
      <c r="AS34" s="74" t="str">
        <f t="shared" si="1"/>
        <v>201763</v>
      </c>
      <c r="AT34" s="75" t="s">
        <v>395</v>
      </c>
    </row>
    <row r="35" spans="1:100" ht="32.1" customHeight="1">
      <c r="A35" s="132"/>
      <c r="B35" s="144" t="str">
        <f>VLOOKUP("STK",Sprachindex!A:Z,Info!$O$6,FALSE)</f>
        <v>STK</v>
      </c>
      <c r="C35" s="133"/>
      <c r="D35" s="133" t="str">
        <f>IF(AND(N17=3,J35=Formeln_RI_P.10!E171),AA35,IF(AND(N17=3,J35=Formeln_RI_P.10!E172),AJ35,IF(AND(N17=4,J35=Formeln_RI_P.10!E171),AS35,IF(AND(N17=2,J35=Formeln_RI_P.10!E171),BB35,""))))</f>
        <v/>
      </c>
      <c r="E35" s="303" t="str">
        <f>VLOOKUP("Rinnenhaken, hochkant",Sprachindex!A:Z,Info!$O$6,FALSE)</f>
        <v>Rinnenhaken, hochkant</v>
      </c>
      <c r="F35" s="304"/>
      <c r="G35" s="304"/>
      <c r="H35" s="304"/>
      <c r="I35" s="136" t="str">
        <f>VLOOKUP("Länge wählen:",Sprachindex!A:Z,Info!$O$6,FALSE)</f>
        <v>Länge wählen:</v>
      </c>
      <c r="J35" s="301"/>
      <c r="K35" s="309"/>
      <c r="L35" s="96" t="str">
        <f>IF(OR(A35="",R35="",S35="")," ",IF($N$11=1,P35,IF($N$11=2,Q35,0)))</f>
        <v xml:space="preserve"> </v>
      </c>
      <c r="M35" s="135"/>
      <c r="N35" s="87"/>
      <c r="O35" s="1"/>
      <c r="P35" s="191" t="e">
        <f>ROUNDUP($A35/R35,0)*R35 &amp; "  " &amp; Formeln_RI_P.10!$A$111</f>
        <v>#VALUE!</v>
      </c>
      <c r="Q35" s="191" t="str">
        <f>ROUNDUP($A35/S35,0)*S35 &amp; "  " &amp; Formeln_RI_P.10!$A$111</f>
        <v>0  STK</v>
      </c>
      <c r="R35" s="191" t="str">
        <f>IF($N$17=1,"",IF(AND($N$17=2,$J35=VLOOKUP("normal",Sprachindex!A:Z,Info!$O$6,FALSE)),10,IF(AND($N$17=3,$J35=VLOOKUP("normal",Sprachindex!A:Z,Info!$O$6,FALSE)),24,IF(AND($N$17=3,$J35=VLOOKUP("kurz",Sprachindex!A:Z,Info!$O$6,FALSE)),24,IF(AND($N$17=4,$J35=VLOOKUP("normal",Sprachindex!A:Z,Info!$O$6,FALSE)),16,"")))))</f>
        <v/>
      </c>
      <c r="S35" s="191">
        <v>1</v>
      </c>
      <c r="T35" s="64" t="s">
        <v>1211</v>
      </c>
      <c r="U35" s="64" t="s">
        <v>1212</v>
      </c>
      <c r="V35" s="64" t="s">
        <v>1213</v>
      </c>
      <c r="W35" s="64" t="s">
        <v>1214</v>
      </c>
      <c r="X35" s="64" t="s">
        <v>1215</v>
      </c>
      <c r="Y35" s="64" t="s">
        <v>1216</v>
      </c>
      <c r="Z35" s="64" t="s">
        <v>1217</v>
      </c>
      <c r="AA35" s="74" t="str">
        <f t="shared" si="0"/>
        <v>201783</v>
      </c>
      <c r="AB35" s="75" t="s">
        <v>396</v>
      </c>
      <c r="AC35" s="64" t="s">
        <v>1218</v>
      </c>
      <c r="AD35" s="64" t="s">
        <v>1219</v>
      </c>
      <c r="AE35" s="64" t="s">
        <v>1220</v>
      </c>
      <c r="AF35" s="64" t="s">
        <v>1221</v>
      </c>
      <c r="AG35" s="64" t="s">
        <v>1222</v>
      </c>
      <c r="AH35" s="64" t="s">
        <v>1223</v>
      </c>
      <c r="AI35" s="64" t="s">
        <v>1224</v>
      </c>
      <c r="AJ35" s="74" t="str">
        <f t="shared" si="3"/>
        <v>201803</v>
      </c>
      <c r="AK35" s="75" t="s">
        <v>396</v>
      </c>
      <c r="AL35" s="64" t="s">
        <v>1225</v>
      </c>
      <c r="AM35" s="64" t="s">
        <v>1226</v>
      </c>
      <c r="AN35" s="64" t="s">
        <v>1227</v>
      </c>
      <c r="AO35" s="64" t="s">
        <v>1228</v>
      </c>
      <c r="AP35" s="64" t="s">
        <v>1229</v>
      </c>
      <c r="AQ35" s="64" t="s">
        <v>1230</v>
      </c>
      <c r="AR35" s="64" t="s">
        <v>1231</v>
      </c>
      <c r="AS35" s="74" t="str">
        <f t="shared" si="1"/>
        <v>201923</v>
      </c>
      <c r="AT35" s="75" t="s">
        <v>405</v>
      </c>
      <c r="AU35" s="64"/>
      <c r="AV35" s="64"/>
      <c r="AW35" s="64"/>
      <c r="AX35" s="64"/>
      <c r="AY35" s="64"/>
      <c r="AZ35" s="64"/>
      <c r="BA35" s="64"/>
      <c r="BB35" s="74">
        <f>IF($N$16=1,AU35,IF($N$16=2,AV35,IF($N$16=3,AW35,IF($N$16=4,AX35,IF($N$16=5,AY35,IF($N$16=6,AZ35,IF($N$16=7,BA35,0)))))))</f>
        <v>0</v>
      </c>
      <c r="BC35" s="75" t="s">
        <v>407</v>
      </c>
    </row>
    <row r="36" spans="1:100" ht="32.1" customHeight="1">
      <c r="A36" s="132"/>
      <c r="B36" s="144" t="str">
        <f>VLOOKUP("STK",Sprachindex!A:Z,Info!$O$6,FALSE)</f>
        <v>STK</v>
      </c>
      <c r="C36" s="133"/>
      <c r="D36" s="133">
        <f>IF(N17=3,AA36,0)</f>
        <v>0</v>
      </c>
      <c r="E36" s="303" t="str">
        <f>VLOOKUP("Rinnenhaken Schweiz",Sprachindex!A:Z,Info!$O$6,FALSE)</f>
        <v>Rinnenhaken Schweiz</v>
      </c>
      <c r="F36" s="304"/>
      <c r="G36" s="304"/>
      <c r="H36" s="304"/>
      <c r="I36" s="136"/>
      <c r="J36" s="305" t="str">
        <f>IF(N17=0,"",IF(N17=3,M20,Formeln_RI_P.10!A169))</f>
        <v/>
      </c>
      <c r="K36" s="306"/>
      <c r="L36" s="96" t="str">
        <f>IF(OR(A36="",R36="",S36="")," ",IF($N$11=1,P36,IF($N$11=2,Q36,0)))</f>
        <v xml:space="preserve"> </v>
      </c>
      <c r="M36" s="135"/>
      <c r="N36" s="87"/>
      <c r="O36" s="1"/>
      <c r="P36" s="191" t="e">
        <f>ROUNDUP($A36/R36,0)*R36 &amp; "  " &amp; Formeln_RI_P.10!$A$111</f>
        <v>#VALUE!</v>
      </c>
      <c r="Q36" s="191" t="str">
        <f>ROUNDUP($A36/S36,0)*S36 &amp; "  " &amp; Formeln_RI_P.10!$A$111</f>
        <v>0  STK</v>
      </c>
      <c r="R36" s="191" t="str">
        <f>IF($N$17=3,"24","")</f>
        <v/>
      </c>
      <c r="S36" s="191">
        <v>1</v>
      </c>
      <c r="T36" s="64" t="s">
        <v>1232</v>
      </c>
      <c r="U36" s="64" t="s">
        <v>1233</v>
      </c>
      <c r="V36" s="64" t="s">
        <v>1234</v>
      </c>
      <c r="W36" s="64" t="s">
        <v>1235</v>
      </c>
      <c r="X36" s="64" t="s">
        <v>1236</v>
      </c>
      <c r="Y36" s="64" t="s">
        <v>1237</v>
      </c>
      <c r="Z36" s="64" t="s">
        <v>1238</v>
      </c>
      <c r="AA36" s="74" t="str">
        <f t="shared" si="0"/>
        <v>201823</v>
      </c>
      <c r="AB36" s="75" t="s">
        <v>396</v>
      </c>
    </row>
    <row r="37" spans="1:100" ht="32.1" customHeight="1">
      <c r="A37" s="131"/>
      <c r="B37" s="96" t="str">
        <f>VLOOKUP("kg",Sprachindex!A:Z,Info!$O$6,FALSE)</f>
        <v>kg</v>
      </c>
      <c r="C37" s="95"/>
      <c r="D37" s="95">
        <v>350670</v>
      </c>
      <c r="E37" s="250" t="str">
        <f>VLOOKUP("Rinnenhakennägel",Sprachindex!A:Z,Info!$O$6,FALSE)</f>
        <v>Rinnenhakennägel</v>
      </c>
      <c r="F37" s="251"/>
      <c r="G37" s="251"/>
      <c r="H37" s="251"/>
      <c r="I37" s="251"/>
      <c r="J37" s="307" t="str">
        <f>VLOOKUP("5,0 × 80 mm",Sprachindex!A:Z,Info!$O$6,FALSE)</f>
        <v>5,0 × 80 mm</v>
      </c>
      <c r="K37" s="308"/>
      <c r="L37" s="96" t="str">
        <f>IF(OR(A37="",R37="",S37="")," ",IF($N$11=1,P37,IF($N$11=2,Q37,0)))</f>
        <v xml:space="preserve"> </v>
      </c>
      <c r="M37" s="130"/>
      <c r="N37" s="87"/>
      <c r="O37" s="1"/>
      <c r="P37" s="191" t="str">
        <f>ROUNDUP($A37/$R37,0)*$R37 &amp; "  " &amp; Formeln_RI_P.10!$A$114 &amp; "                  " &amp; "(=" &amp; " " &amp; ROUNDUP($A37/$R37,0)*$R37*80 &amp; Formeln_RI_P.10!$A$111 &amp; ")"</f>
        <v>0  kg                  (= 0STK)</v>
      </c>
      <c r="Q37" s="191" t="str">
        <f>ROUNDUP($A37/$S37,0)*$S37 &amp; "  " &amp; Formeln_RI_P.10!$A$114 &amp; "                  " &amp; "(=" &amp; " " &amp; ROUNDUP($A37/$S37,0)*$S37*80 &amp; Formeln_RI_P.10!$A$111 &amp; ")"</f>
        <v>0  kg                  (= 0STK)</v>
      </c>
      <c r="R37" s="191">
        <v>5</v>
      </c>
      <c r="S37" s="191">
        <v>0.5</v>
      </c>
      <c r="T37" s="206" t="s">
        <v>74</v>
      </c>
      <c r="U37" s="49" t="s">
        <v>1078</v>
      </c>
      <c r="V37" s="49" t="s">
        <v>76</v>
      </c>
      <c r="W37" s="49" t="s">
        <v>79</v>
      </c>
      <c r="X37" s="49" t="s">
        <v>84</v>
      </c>
      <c r="Y37" s="49" t="s">
        <v>81</v>
      </c>
      <c r="Z37" s="49" t="s">
        <v>1079</v>
      </c>
      <c r="AA37" s="49"/>
      <c r="AB37" s="74"/>
      <c r="AC37" s="206" t="s">
        <v>74</v>
      </c>
      <c r="AD37" s="49" t="s">
        <v>1078</v>
      </c>
      <c r="AE37" s="49" t="s">
        <v>76</v>
      </c>
      <c r="AF37" s="49" t="s">
        <v>79</v>
      </c>
      <c r="AG37" s="49" t="s">
        <v>84</v>
      </c>
      <c r="AH37" s="49" t="s">
        <v>81</v>
      </c>
      <c r="AI37" s="49" t="s">
        <v>1079</v>
      </c>
      <c r="AJ37" s="49"/>
      <c r="AK37" s="74"/>
      <c r="AL37" s="206" t="s">
        <v>74</v>
      </c>
      <c r="AM37" s="49" t="s">
        <v>1078</v>
      </c>
      <c r="AN37" s="49" t="s">
        <v>76</v>
      </c>
      <c r="AO37" s="49" t="s">
        <v>79</v>
      </c>
      <c r="AP37" s="49" t="s">
        <v>84</v>
      </c>
      <c r="AQ37" s="49" t="s">
        <v>81</v>
      </c>
      <c r="AR37" s="49" t="s">
        <v>1079</v>
      </c>
      <c r="AS37" s="49"/>
      <c r="AT37" s="74"/>
      <c r="AU37" s="206" t="s">
        <v>74</v>
      </c>
      <c r="AV37" s="49" t="s">
        <v>1078</v>
      </c>
      <c r="AW37" s="49" t="s">
        <v>76</v>
      </c>
      <c r="AX37" s="49" t="s">
        <v>79</v>
      </c>
      <c r="AY37" s="49" t="s">
        <v>84</v>
      </c>
      <c r="AZ37" s="49" t="s">
        <v>81</v>
      </c>
      <c r="BA37" s="49" t="s">
        <v>1079</v>
      </c>
      <c r="BB37" s="49"/>
      <c r="BC37" s="74"/>
      <c r="BD37" s="206" t="s">
        <v>74</v>
      </c>
      <c r="BE37" s="49" t="s">
        <v>1078</v>
      </c>
      <c r="BF37" s="49" t="s">
        <v>76</v>
      </c>
      <c r="BG37" s="49" t="s">
        <v>79</v>
      </c>
      <c r="BH37" s="49" t="s">
        <v>84</v>
      </c>
      <c r="BI37" s="49" t="s">
        <v>81</v>
      </c>
      <c r="BJ37" s="49" t="s">
        <v>1079</v>
      </c>
      <c r="BK37" s="49"/>
      <c r="BL37" s="74"/>
      <c r="BM37" s="206" t="s">
        <v>74</v>
      </c>
      <c r="BN37" s="49" t="s">
        <v>1078</v>
      </c>
      <c r="BO37" s="49" t="s">
        <v>76</v>
      </c>
      <c r="BP37" s="49" t="s">
        <v>79</v>
      </c>
      <c r="BQ37" s="49" t="s">
        <v>84</v>
      </c>
      <c r="BR37" s="49" t="s">
        <v>81</v>
      </c>
      <c r="BS37" s="49" t="s">
        <v>1079</v>
      </c>
      <c r="BT37" s="49"/>
      <c r="BU37" s="74"/>
      <c r="BV37" s="206" t="s">
        <v>74</v>
      </c>
      <c r="BW37" s="49" t="s">
        <v>1078</v>
      </c>
      <c r="BX37" s="49" t="s">
        <v>76</v>
      </c>
      <c r="BY37" s="49" t="s">
        <v>79</v>
      </c>
      <c r="BZ37" s="49" t="s">
        <v>84</v>
      </c>
      <c r="CA37" s="49" t="s">
        <v>81</v>
      </c>
      <c r="CB37" s="49" t="s">
        <v>1079</v>
      </c>
      <c r="CC37" s="49"/>
      <c r="CD37" s="74"/>
      <c r="CE37" s="206" t="s">
        <v>74</v>
      </c>
      <c r="CF37" s="49" t="s">
        <v>1078</v>
      </c>
      <c r="CG37" s="49" t="s">
        <v>76</v>
      </c>
      <c r="CH37" s="49" t="s">
        <v>79</v>
      </c>
      <c r="CI37" s="49" t="s">
        <v>84</v>
      </c>
      <c r="CJ37" s="49" t="s">
        <v>81</v>
      </c>
      <c r="CK37" s="49" t="s">
        <v>1079</v>
      </c>
      <c r="CL37" s="49"/>
      <c r="CM37" s="74"/>
      <c r="CN37" s="206" t="s">
        <v>74</v>
      </c>
      <c r="CO37" s="49" t="s">
        <v>1078</v>
      </c>
      <c r="CP37" s="49" t="s">
        <v>76</v>
      </c>
      <c r="CQ37" s="49" t="s">
        <v>79</v>
      </c>
      <c r="CR37" s="49" t="s">
        <v>84</v>
      </c>
      <c r="CS37" s="49" t="s">
        <v>81</v>
      </c>
      <c r="CT37" s="49" t="s">
        <v>1079</v>
      </c>
      <c r="CU37" s="49"/>
      <c r="CV37" s="74"/>
    </row>
    <row r="38" spans="1:100" ht="32.1" customHeight="1">
      <c r="A38" s="131"/>
      <c r="B38" s="96" t="str">
        <f>VLOOKUP("STK",Sprachindex!A:Z,Info!$O$6,FALSE)</f>
        <v>STK</v>
      </c>
      <c r="C38" s="95"/>
      <c r="D38" s="95">
        <f>IF($N$17=1,AA38,IF($N$17=2,AJ38,IF($N$17=3,AS38,IF($N$17=4,BB38,0))))</f>
        <v>0</v>
      </c>
      <c r="E38" s="250" t="str">
        <f>VLOOKUP("Rinnenendboden",Sprachindex!A:Z,Info!$O$6,FALSE)</f>
        <v>Rinnenendboden</v>
      </c>
      <c r="F38" s="251"/>
      <c r="G38" s="251"/>
      <c r="H38" s="251"/>
      <c r="I38" s="251"/>
      <c r="J38" s="307" t="str">
        <f>IF(N17=5,Formeln_RI_P.10!A169,Formeln_RI_P.10!A175)</f>
        <v/>
      </c>
      <c r="K38" s="308"/>
      <c r="L38" s="96" t="str">
        <f t="shared" ref="L38:L102" si="4">IF(OR(A38="",R38="",S38="")," ",IF($N$11=1,P38,IF($N$11=2,Q38,0)))</f>
        <v xml:space="preserve"> </v>
      </c>
      <c r="M38" s="130"/>
      <c r="N38" s="87"/>
      <c r="O38" s="1"/>
      <c r="P38" s="191" t="e">
        <f>ROUNDUP($A38/R38,0)*R38 &amp; "  " &amp; Formeln_RI_P.10!$A$111</f>
        <v>#VALUE!</v>
      </c>
      <c r="Q38" s="191" t="str">
        <f>ROUNDUP($A38/S38,0)*S38 &amp; "  " &amp; Formeln_RI_P.10!$A$111</f>
        <v>0  STK</v>
      </c>
      <c r="R38" s="191" t="str">
        <f>IF(N17="","",50)</f>
        <v/>
      </c>
      <c r="S38" s="191">
        <v>1</v>
      </c>
      <c r="T38" s="64" t="s">
        <v>1239</v>
      </c>
      <c r="U38" s="64" t="s">
        <v>1240</v>
      </c>
      <c r="V38" s="64" t="s">
        <v>1241</v>
      </c>
      <c r="W38" s="64" t="s">
        <v>1242</v>
      </c>
      <c r="X38" s="64" t="s">
        <v>1243</v>
      </c>
      <c r="Y38" s="64" t="s">
        <v>1244</v>
      </c>
      <c r="Z38" s="64" t="s">
        <v>1245</v>
      </c>
      <c r="AA38" s="74" t="str">
        <f t="shared" ref="AA38" si="5">IF($N$16=1,T38,IF($N$16=2,U38,IF($N$16=3,V38,IF($N$16=4,W38,IF($N$16=5,X38,IF($N$16=6,Y38,IF($N$16=7,Z38,0)))))))</f>
        <v>200003</v>
      </c>
      <c r="AB38" s="74" t="s">
        <v>408</v>
      </c>
      <c r="AC38" s="64" t="s">
        <v>1246</v>
      </c>
      <c r="AD38" s="64" t="s">
        <v>1247</v>
      </c>
      <c r="AE38" s="64" t="s">
        <v>1248</v>
      </c>
      <c r="AF38" s="64" t="s">
        <v>1249</v>
      </c>
      <c r="AG38" s="64" t="s">
        <v>1248</v>
      </c>
      <c r="AH38" s="64" t="s">
        <v>1250</v>
      </c>
      <c r="AI38" s="64" t="s">
        <v>1251</v>
      </c>
      <c r="AJ38" s="74" t="str">
        <f>IF($N$16=1,AC38,IF($N$16=2,AD38,IF($N$16=3,AE38,IF($N$16=4,AF38,IF($N$16=5,AG38,IF($N$16=6,AH38,IF($N$16=7,AI38,0)))))))</f>
        <v>200023</v>
      </c>
      <c r="AK38" s="74" t="s">
        <v>409</v>
      </c>
      <c r="AL38" s="64" t="s">
        <v>1252</v>
      </c>
      <c r="AM38" s="64" t="s">
        <v>1253</v>
      </c>
      <c r="AN38" s="64" t="s">
        <v>1254</v>
      </c>
      <c r="AO38" s="64" t="s">
        <v>1255</v>
      </c>
      <c r="AP38" s="64" t="s">
        <v>1256</v>
      </c>
      <c r="AQ38" s="64" t="s">
        <v>1257</v>
      </c>
      <c r="AR38" s="64" t="s">
        <v>1258</v>
      </c>
      <c r="AS38" s="74" t="str">
        <f>IF($N$16=1,AL38,IF($N$16=2,AM38,IF($N$16=3,AN38,IF($N$16=4,AO38,IF($N$16=5,AP38,IF($N$16=6,AQ38,IF($N$16=7,AR38,0)))))))</f>
        <v>200043</v>
      </c>
      <c r="AT38" s="74" t="s">
        <v>410</v>
      </c>
      <c r="AU38" s="64" t="s">
        <v>1259</v>
      </c>
      <c r="AV38" s="64" t="s">
        <v>1260</v>
      </c>
      <c r="AW38" s="64" t="s">
        <v>1261</v>
      </c>
      <c r="AX38" s="64" t="s">
        <v>1262</v>
      </c>
      <c r="AY38" s="64" t="s">
        <v>1263</v>
      </c>
      <c r="AZ38" s="64" t="s">
        <v>1264</v>
      </c>
      <c r="BA38" s="64" t="s">
        <v>1265</v>
      </c>
      <c r="BB38" s="74" t="str">
        <f>IF($N$16=1,AU38,IF($N$16=2,AV38,IF($N$16=3,AW38,IF($N$16=4,AX38,IF($N$16=5,AY38,IF($N$16=6,AZ38,IF($N$16=7,BA38,0)))))))</f>
        <v>200063</v>
      </c>
      <c r="BC38" s="74" t="s">
        <v>411</v>
      </c>
    </row>
    <row r="39" spans="1:100" ht="32.1" customHeight="1">
      <c r="A39" s="131"/>
      <c r="B39" s="96" t="str">
        <f>VLOOKUP("STK",Sprachindex!A:Z,Info!$O$6,FALSE)</f>
        <v>STK</v>
      </c>
      <c r="C39" s="95"/>
      <c r="D39" s="95">
        <f>IF($N$17=3,AA39,0)</f>
        <v>0</v>
      </c>
      <c r="E39" s="250" t="str">
        <f>VLOOKUP("Kugelendboden",Sprachindex!A:Z,Info!$O$6,FALSE)</f>
        <v>Kugelendboden</v>
      </c>
      <c r="F39" s="251"/>
      <c r="G39" s="251"/>
      <c r="H39" s="251"/>
      <c r="I39" s="251"/>
      <c r="J39" s="307" t="str">
        <f>IF(N17=0,"",IF(N17=3,M20,Formeln_RI_P.10!A169))</f>
        <v/>
      </c>
      <c r="K39" s="308"/>
      <c r="L39" s="96" t="str">
        <f t="shared" si="4"/>
        <v xml:space="preserve"> </v>
      </c>
      <c r="M39" s="130"/>
      <c r="N39" s="87"/>
      <c r="O39" s="1"/>
      <c r="P39" s="191" t="e">
        <f>ROUNDUP($A39/R39,0)*R39 &amp; "  " &amp; Formeln_RI_P.10!$A$111</f>
        <v>#VALUE!</v>
      </c>
      <c r="Q39" s="191" t="str">
        <f>ROUNDUP($A39/S39,0)*S39 &amp; "  " &amp; Formeln_RI_P.10!$A$111</f>
        <v>0  STK</v>
      </c>
      <c r="R39" s="191" t="str">
        <f>IF($N$17=3,4,"")</f>
        <v/>
      </c>
      <c r="S39" s="191">
        <v>1</v>
      </c>
      <c r="T39" s="64" t="s">
        <v>1266</v>
      </c>
      <c r="U39" s="64" t="s">
        <v>1267</v>
      </c>
      <c r="V39" s="64" t="s">
        <v>1268</v>
      </c>
      <c r="W39" s="64" t="s">
        <v>1269</v>
      </c>
      <c r="X39" s="64" t="s">
        <v>1270</v>
      </c>
      <c r="Y39" s="64" t="s">
        <v>1271</v>
      </c>
      <c r="Z39" s="64" t="s">
        <v>1272</v>
      </c>
      <c r="AA39" s="74" t="str">
        <f t="shared" si="0"/>
        <v>200203</v>
      </c>
      <c r="AB39" s="74" t="s">
        <v>410</v>
      </c>
    </row>
    <row r="40" spans="1:100" ht="32.1" customHeight="1">
      <c r="A40" s="131"/>
      <c r="B40" s="96" t="str">
        <f>VLOOKUP("STK",Sprachindex!A:Z,Info!$O$6,FALSE)</f>
        <v>STK</v>
      </c>
      <c r="C40" s="95"/>
      <c r="D40" s="95">
        <f>IF($N$17=3,AA40,0)</f>
        <v>0</v>
      </c>
      <c r="E40" s="250" t="str">
        <f>VLOOKUP("Klebeendboden",Sprachindex!A:Z,Info!$O$6,FALSE)</f>
        <v>Klebeendboden</v>
      </c>
      <c r="F40" s="251"/>
      <c r="G40" s="251"/>
      <c r="H40" s="251"/>
      <c r="I40" s="251"/>
      <c r="J40" s="307" t="str">
        <f>IF(N17=0,"",IF(N17=3,M20,Formeln_RI_P.10!A169))</f>
        <v/>
      </c>
      <c r="K40" s="308"/>
      <c r="L40" s="96" t="str">
        <f t="shared" si="4"/>
        <v xml:space="preserve"> </v>
      </c>
      <c r="M40" s="130"/>
      <c r="N40" s="87"/>
      <c r="O40" s="1"/>
      <c r="P40" s="191" t="e">
        <f>ROUNDUP($A40/R40,0)*R40 &amp; "  " &amp; Formeln_RI_P.10!$A$111</f>
        <v>#VALUE!</v>
      </c>
      <c r="Q40" s="191" t="str">
        <f>ROUNDUP($A40/S40,0)*S40 &amp; "  " &amp; Formeln_RI_P.10!$A$111</f>
        <v>0  STK</v>
      </c>
      <c r="R40" s="191" t="str">
        <f>IF($N$17=3,2,"")</f>
        <v/>
      </c>
      <c r="S40" s="191">
        <v>1</v>
      </c>
      <c r="T40" s="64"/>
      <c r="U40" s="64"/>
      <c r="V40" s="64"/>
      <c r="W40" s="64"/>
      <c r="X40" s="64"/>
      <c r="Y40" s="64"/>
      <c r="Z40" s="64"/>
      <c r="AA40" s="74">
        <f t="shared" si="0"/>
        <v>0</v>
      </c>
      <c r="AB40" s="74"/>
    </row>
    <row r="41" spans="1:100" ht="32.1" customHeight="1">
      <c r="A41" s="131"/>
      <c r="B41" s="96" t="str">
        <f>VLOOKUP("STK",Sprachindex!A:Z,Info!$O$6,FALSE)</f>
        <v>STK</v>
      </c>
      <c r="C41" s="95"/>
      <c r="D41" s="95">
        <f>IF($N$17=1,AA41,IF($N$17=2,AJ41,IF($N$17=3,AS41,IF($N$17=4,BB41,0))))</f>
        <v>0</v>
      </c>
      <c r="E41" s="250" t="str">
        <f>VLOOKUP("Rinnenwinkel, außen ",Sprachindex!A:Z,Info!$O$6,FALSE)</f>
        <v xml:space="preserve">Rinnenwinkel, außen </v>
      </c>
      <c r="F41" s="251"/>
      <c r="G41" s="251"/>
      <c r="H41" s="251"/>
      <c r="I41" s="251"/>
      <c r="J41" s="307" t="str">
        <f>Formeln_RI_P.10!A175</f>
        <v/>
      </c>
      <c r="K41" s="308"/>
      <c r="L41" s="96" t="str">
        <f t="shared" si="4"/>
        <v xml:space="preserve"> </v>
      </c>
      <c r="M41" s="130"/>
      <c r="N41" s="87"/>
      <c r="O41" s="1"/>
      <c r="P41" s="191" t="e">
        <f>ROUNDUP($A41/R41,0)*R41 &amp; "  " &amp; Formeln_RI_P.10!$A$111</f>
        <v>#VALUE!</v>
      </c>
      <c r="Q41" s="191" t="str">
        <f>ROUNDUP($A41/S41,0)*S41 &amp; "  " &amp; Formeln_RI_P.10!$A$111</f>
        <v>0  STK</v>
      </c>
      <c r="R41" s="191" t="str">
        <f>IF($N$17=1,4,IF($N$17=2,4,IF($N$17=3,4,IF($N$17=4,2,""))))</f>
        <v/>
      </c>
      <c r="S41" s="191">
        <v>1</v>
      </c>
      <c r="T41" s="64" t="s">
        <v>1273</v>
      </c>
      <c r="U41" s="64" t="s">
        <v>1274</v>
      </c>
      <c r="V41" s="64" t="s">
        <v>1275</v>
      </c>
      <c r="W41" s="64" t="s">
        <v>1276</v>
      </c>
      <c r="X41" s="64" t="s">
        <v>1277</v>
      </c>
      <c r="Y41" s="64" t="s">
        <v>1278</v>
      </c>
      <c r="Z41" s="64" t="s">
        <v>1279</v>
      </c>
      <c r="AA41" s="74" t="str">
        <f t="shared" si="0"/>
        <v>200303</v>
      </c>
      <c r="AB41" s="74" t="s">
        <v>408</v>
      </c>
      <c r="AC41" s="64" t="s">
        <v>1280</v>
      </c>
      <c r="AD41" s="64" t="s">
        <v>1281</v>
      </c>
      <c r="AE41" s="64" t="s">
        <v>1282</v>
      </c>
      <c r="AF41" s="64" t="s">
        <v>1283</v>
      </c>
      <c r="AG41" s="64" t="s">
        <v>1284</v>
      </c>
      <c r="AH41" s="64" t="s">
        <v>1285</v>
      </c>
      <c r="AI41" s="64" t="s">
        <v>1286</v>
      </c>
      <c r="AJ41" s="74" t="str">
        <f t="shared" ref="AJ41:AJ44" si="6">IF($N$16=1,AC41,IF($N$16=2,AD41,IF($N$16=3,AE41,IF($N$16=4,AF41,IF($N$16=5,AG41,IF($N$16=6,AH41,IF($N$16=7,AI41,0)))))))</f>
        <v>200343</v>
      </c>
      <c r="AK41" s="74" t="s">
        <v>409</v>
      </c>
      <c r="AL41" s="64" t="s">
        <v>1287</v>
      </c>
      <c r="AM41" s="64" t="s">
        <v>1288</v>
      </c>
      <c r="AN41" s="64" t="s">
        <v>1289</v>
      </c>
      <c r="AO41" s="64" t="s">
        <v>1290</v>
      </c>
      <c r="AP41" s="64" t="s">
        <v>1291</v>
      </c>
      <c r="AQ41" s="64" t="s">
        <v>1292</v>
      </c>
      <c r="AR41" s="64" t="s">
        <v>1293</v>
      </c>
      <c r="AS41" s="74" t="str">
        <f t="shared" ref="AS41:AS44" si="7">IF($N$16=1,AL41,IF($N$16=2,AM41,IF($N$16=3,AN41,IF($N$16=4,AO41,IF($N$16=5,AP41,IF($N$16=6,AQ41,IF($N$16=7,AR41,0)))))))</f>
        <v>200383</v>
      </c>
      <c r="AT41" s="74" t="s">
        <v>410</v>
      </c>
      <c r="AU41" s="64" t="s">
        <v>1294</v>
      </c>
      <c r="AV41" s="64" t="s">
        <v>1295</v>
      </c>
      <c r="AW41" s="64" t="s">
        <v>1296</v>
      </c>
      <c r="AX41" s="64" t="s">
        <v>1297</v>
      </c>
      <c r="AY41" s="64" t="s">
        <v>1298</v>
      </c>
      <c r="AZ41" s="64" t="s">
        <v>1299</v>
      </c>
      <c r="BA41" s="64" t="s">
        <v>1300</v>
      </c>
      <c r="BB41" s="74" t="str">
        <f t="shared" ref="BB41:BB43" si="8">IF($N$16=1,AU41,IF($N$16=2,AV41,IF($N$16=3,AW41,IF($N$16=4,AX41,IF($N$16=5,AY41,IF($N$16=6,AZ41,IF($N$16=7,BA41,0)))))))</f>
        <v>200423</v>
      </c>
      <c r="BC41" s="74" t="s">
        <v>411</v>
      </c>
    </row>
    <row r="42" spans="1:100" ht="32.1" customHeight="1">
      <c r="A42" s="131"/>
      <c r="B42" s="96" t="str">
        <f>VLOOKUP("STK",Sprachindex!A:Z,Info!$O$6,FALSE)</f>
        <v>STK</v>
      </c>
      <c r="C42" s="95"/>
      <c r="D42" s="95">
        <f>IF($N$17=1,AA42,IF($N$17=2,AJ42,IF($N$17=3,AS42,IF($N$17=4,BB42,0))))</f>
        <v>0</v>
      </c>
      <c r="E42" s="250" t="str">
        <f>VLOOKUP("Rinnenwinkel, innen",Sprachindex!A:Z,Info!$O$6,FALSE)</f>
        <v>Rinnenwinkel, innen</v>
      </c>
      <c r="F42" s="251"/>
      <c r="G42" s="251"/>
      <c r="H42" s="251"/>
      <c r="I42" s="251"/>
      <c r="J42" s="307" t="str">
        <f>Formeln_RI_P.10!A175</f>
        <v/>
      </c>
      <c r="K42" s="308"/>
      <c r="L42" s="96" t="str">
        <f t="shared" si="4"/>
        <v xml:space="preserve"> </v>
      </c>
      <c r="M42" s="130"/>
      <c r="N42" s="87"/>
      <c r="O42" s="1"/>
      <c r="P42" s="191" t="e">
        <f>ROUNDUP($A42/R42,0)*R42 &amp; "  " &amp; Formeln_RI_P.10!$A$111</f>
        <v>#VALUE!</v>
      </c>
      <c r="Q42" s="191" t="str">
        <f>ROUNDUP($A42/S42,0)*S42 &amp; "  " &amp; Formeln_RI_P.10!$A$111</f>
        <v>0  STK</v>
      </c>
      <c r="R42" s="191" t="str">
        <f>IF($N$17=1,4,IF($N$17=2,4,IF($N$17=3,4,IF($N$17=4,2,""))))</f>
        <v/>
      </c>
      <c r="S42" s="191">
        <v>1</v>
      </c>
      <c r="T42" s="64" t="s">
        <v>1301</v>
      </c>
      <c r="U42" s="64" t="s">
        <v>1302</v>
      </c>
      <c r="V42" s="64" t="s">
        <v>1303</v>
      </c>
      <c r="W42" s="64" t="s">
        <v>1304</v>
      </c>
      <c r="X42" s="64" t="s">
        <v>1305</v>
      </c>
      <c r="Y42" s="64" t="s">
        <v>1306</v>
      </c>
      <c r="Z42" s="64" t="s">
        <v>1307</v>
      </c>
      <c r="AA42" s="74" t="str">
        <f t="shared" si="0"/>
        <v>200323</v>
      </c>
      <c r="AB42" s="74" t="s">
        <v>408</v>
      </c>
      <c r="AC42" s="64" t="s">
        <v>1308</v>
      </c>
      <c r="AD42" s="64" t="s">
        <v>1309</v>
      </c>
      <c r="AE42" s="64" t="s">
        <v>1310</v>
      </c>
      <c r="AF42" s="64" t="s">
        <v>1311</v>
      </c>
      <c r="AG42" s="64" t="s">
        <v>1312</v>
      </c>
      <c r="AH42" s="64" t="s">
        <v>1313</v>
      </c>
      <c r="AI42" s="64" t="s">
        <v>1314</v>
      </c>
      <c r="AJ42" s="74" t="str">
        <f t="shared" si="6"/>
        <v>200363</v>
      </c>
      <c r="AK42" s="74" t="s">
        <v>409</v>
      </c>
      <c r="AL42" s="64" t="s">
        <v>1315</v>
      </c>
      <c r="AM42" s="64" t="s">
        <v>1316</v>
      </c>
      <c r="AN42" s="64" t="s">
        <v>1317</v>
      </c>
      <c r="AO42" s="64" t="s">
        <v>1318</v>
      </c>
      <c r="AP42" s="64" t="s">
        <v>1319</v>
      </c>
      <c r="AQ42" s="64" t="s">
        <v>1320</v>
      </c>
      <c r="AR42" s="64" t="s">
        <v>1321</v>
      </c>
      <c r="AS42" s="74" t="str">
        <f t="shared" si="7"/>
        <v>200403</v>
      </c>
      <c r="AT42" s="74" t="s">
        <v>410</v>
      </c>
      <c r="AU42" s="64" t="s">
        <v>1322</v>
      </c>
      <c r="AV42" s="64" t="s">
        <v>1323</v>
      </c>
      <c r="AW42" s="64" t="s">
        <v>1324</v>
      </c>
      <c r="AX42" s="64" t="s">
        <v>1325</v>
      </c>
      <c r="AY42" s="64" t="s">
        <v>1326</v>
      </c>
      <c r="AZ42" s="64" t="s">
        <v>1327</v>
      </c>
      <c r="BA42" s="64" t="s">
        <v>1328</v>
      </c>
      <c r="BB42" s="74" t="str">
        <f t="shared" si="8"/>
        <v>200443</v>
      </c>
      <c r="BC42" s="74" t="s">
        <v>411</v>
      </c>
    </row>
    <row r="43" spans="1:100" ht="32.1" customHeight="1">
      <c r="A43" s="227"/>
      <c r="B43" s="96" t="str">
        <f>VLOOKUP("STK",Sprachindex!A:Z,Info!$O$6,FALSE)</f>
        <v>STK</v>
      </c>
      <c r="C43" s="99"/>
      <c r="D43" s="99">
        <f>IF(AND($N$17=1,$N$18=2),AJ43,IF(AND($N$17=2,$N$18=2),AS43,IF(AND($N$17=2,$N$18=3),BB43,IF(AND($N$17=3,$N$18=2),BK43,IF(AND($N$17=3,$N$18=3),BT43,IF(AND($N$17=3,$N$18=4),CC43,IF(AND($N$17=4,$N$18=4),CL43,IF(AND($N$17=4,$N$18=5),CU43,IF(AND($N$17=1,$N$18=1),AA43,0)))))))))</f>
        <v>0</v>
      </c>
      <c r="E43" s="250" t="str">
        <f>VLOOKUP("Rinnenkessel",Sprachindex!A:Z,Info!$O$6,FALSE)</f>
        <v>Rinnenkessel</v>
      </c>
      <c r="F43" s="251"/>
      <c r="G43" s="251"/>
      <c r="H43" s="251"/>
      <c r="I43" s="251"/>
      <c r="J43" s="307" t="str">
        <f>Formeln_RI_P.10!A191</f>
        <v/>
      </c>
      <c r="K43" s="308"/>
      <c r="L43" s="96" t="str">
        <f t="shared" si="4"/>
        <v xml:space="preserve"> </v>
      </c>
      <c r="M43" s="130"/>
      <c r="N43" s="87"/>
      <c r="O43" s="1"/>
      <c r="P43" s="191" t="e">
        <f>ROUNDUP($A43/R43,0)*R43 &amp; "  " &amp; Formeln_RI_P.10!$A$111</f>
        <v>#VALUE!</v>
      </c>
      <c r="Q43" s="191" t="str">
        <f>ROUNDUP($A43/S43,0)*S43 &amp; "  " &amp; Formeln_RI_P.10!$A$111</f>
        <v>0  STK</v>
      </c>
      <c r="R43" s="191" t="str">
        <f>IF(AND($N$17=1,$N$18=1),6,IF(AND($N$17=1,$N$18=2),6,IF(AND($N$17=2,$N$18=2),10,IF(AND($N$17=2,$N$18=3),10,IF(AND($N$17=3,$N$18=2),10,IF(AND($N$17=3,$N$18=3),10,IF(AND($N$17=3,$N$18=4),5,IF(AND($N$17=4,$N$18=4),3,""))))))))</f>
        <v/>
      </c>
      <c r="S43" s="191">
        <v>1</v>
      </c>
      <c r="T43" s="64" t="s">
        <v>1329</v>
      </c>
      <c r="U43" s="64" t="s">
        <v>1330</v>
      </c>
      <c r="V43" s="64" t="s">
        <v>1331</v>
      </c>
      <c r="W43" s="64" t="s">
        <v>1332</v>
      </c>
      <c r="X43" s="64" t="s">
        <v>1333</v>
      </c>
      <c r="Y43" s="64" t="s">
        <v>1334</v>
      </c>
      <c r="Z43" s="64" t="s">
        <v>1335</v>
      </c>
      <c r="AA43" s="74" t="str">
        <f t="shared" si="0"/>
        <v>200703</v>
      </c>
      <c r="AB43" s="74" t="s">
        <v>416</v>
      </c>
      <c r="AC43" s="64" t="s">
        <v>1336</v>
      </c>
      <c r="AD43" s="64" t="s">
        <v>1337</v>
      </c>
      <c r="AE43" s="64" t="s">
        <v>1338</v>
      </c>
      <c r="AF43" s="64" t="s">
        <v>1339</v>
      </c>
      <c r="AG43" s="64" t="s">
        <v>1340</v>
      </c>
      <c r="AH43" s="64" t="s">
        <v>1341</v>
      </c>
      <c r="AI43" s="64" t="s">
        <v>1342</v>
      </c>
      <c r="AJ43" s="74" t="str">
        <f t="shared" si="6"/>
        <v>200723</v>
      </c>
      <c r="AK43" s="74" t="s">
        <v>417</v>
      </c>
      <c r="AL43" s="64" t="s">
        <v>1343</v>
      </c>
      <c r="AM43" s="64" t="s">
        <v>1344</v>
      </c>
      <c r="AN43" s="64" t="s">
        <v>1345</v>
      </c>
      <c r="AO43" s="64" t="s">
        <v>1346</v>
      </c>
      <c r="AP43" s="64" t="s">
        <v>1347</v>
      </c>
      <c r="AQ43" s="64" t="s">
        <v>1348</v>
      </c>
      <c r="AR43" s="64" t="s">
        <v>1349</v>
      </c>
      <c r="AS43" s="74" t="str">
        <f t="shared" si="7"/>
        <v>200743</v>
      </c>
      <c r="AT43" s="74" t="s">
        <v>418</v>
      </c>
      <c r="AU43" s="64" t="s">
        <v>1350</v>
      </c>
      <c r="AV43" s="64" t="s">
        <v>1351</v>
      </c>
      <c r="AW43" s="64" t="s">
        <v>1352</v>
      </c>
      <c r="AX43" s="64" t="s">
        <v>1353</v>
      </c>
      <c r="AY43" s="64" t="s">
        <v>1354</v>
      </c>
      <c r="AZ43" s="64" t="s">
        <v>1355</v>
      </c>
      <c r="BA43" s="64" t="s">
        <v>1356</v>
      </c>
      <c r="BB43" s="74" t="str">
        <f t="shared" si="8"/>
        <v>200763</v>
      </c>
      <c r="BC43" s="74" t="s">
        <v>419</v>
      </c>
      <c r="BD43" s="64" t="s">
        <v>1357</v>
      </c>
      <c r="BE43" s="64" t="s">
        <v>1358</v>
      </c>
      <c r="BF43" s="64" t="s">
        <v>1359</v>
      </c>
      <c r="BG43" s="64" t="s">
        <v>1360</v>
      </c>
      <c r="BH43" s="64" t="s">
        <v>1361</v>
      </c>
      <c r="BI43" s="64" t="s">
        <v>1362</v>
      </c>
      <c r="BJ43" s="64" t="s">
        <v>1363</v>
      </c>
      <c r="BK43" s="74" t="str">
        <f t="shared" ref="BK43" si="9">IF($N$16=1,BD43,IF($N$16=2,BE43,IF($N$16=3,BF43,IF($N$16=4,BG43,IF($N$16=5,BH43,IF($N$16=6,BI43,IF($N$16=7,BJ43,0)))))))</f>
        <v>200783</v>
      </c>
      <c r="BL43" s="74" t="s">
        <v>420</v>
      </c>
      <c r="BM43" s="64" t="s">
        <v>1364</v>
      </c>
      <c r="BN43" s="64" t="s">
        <v>1365</v>
      </c>
      <c r="BO43" s="64" t="s">
        <v>1366</v>
      </c>
      <c r="BP43" s="64" t="s">
        <v>1367</v>
      </c>
      <c r="BQ43" s="64" t="s">
        <v>1368</v>
      </c>
      <c r="BR43" s="64" t="s">
        <v>1369</v>
      </c>
      <c r="BS43" s="64" t="s">
        <v>1370</v>
      </c>
      <c r="BT43" s="74" t="str">
        <f t="shared" ref="BT43" si="10">IF($N$16=1,BM43,IF($N$16=2,BN43,IF($N$16=3,BO43,IF($N$16=4,BP43,IF($N$16=5,BQ43,IF($N$16=6,BR43,IF($N$16=7,BS43,0)))))))</f>
        <v>200803</v>
      </c>
      <c r="BU43" s="74" t="s">
        <v>421</v>
      </c>
      <c r="BV43" s="64" t="s">
        <v>1371</v>
      </c>
      <c r="BW43" s="64" t="s">
        <v>1372</v>
      </c>
      <c r="BX43" s="64" t="s">
        <v>1373</v>
      </c>
      <c r="BY43" s="64" t="s">
        <v>1374</v>
      </c>
      <c r="BZ43" s="64" t="s">
        <v>1375</v>
      </c>
      <c r="CA43" s="64" t="s">
        <v>1376</v>
      </c>
      <c r="CB43" s="64" t="s">
        <v>1377</v>
      </c>
      <c r="CC43" s="74" t="str">
        <f t="shared" ref="CC43" si="11">IF($N$16=1,BV43,IF($N$16=2,BW43,IF($N$16=3,BX43,IF($N$16=4,BY43,IF($N$16=5,BZ43,IF($N$16=6,CA43,IF($N$16=7,CB43,0)))))))</f>
        <v>200823</v>
      </c>
      <c r="CD43" s="74" t="s">
        <v>422</v>
      </c>
      <c r="CE43" s="64" t="s">
        <v>1378</v>
      </c>
      <c r="CF43" s="64" t="s">
        <v>1379</v>
      </c>
      <c r="CG43" s="64" t="s">
        <v>1380</v>
      </c>
      <c r="CH43" s="64" t="s">
        <v>1381</v>
      </c>
      <c r="CI43" s="64" t="s">
        <v>1382</v>
      </c>
      <c r="CJ43" s="64" t="s">
        <v>1383</v>
      </c>
      <c r="CK43" s="64" t="s">
        <v>1384</v>
      </c>
      <c r="CL43" s="74" t="str">
        <f t="shared" ref="CL43" si="12">IF($N$16=1,CE43,IF($N$16=2,CF43,IF($N$16=3,CG43,IF($N$16=4,CH43,IF($N$16=5,CI43,IF($N$16=6,CJ43,IF($N$16=7,CK43,0)))))))</f>
        <v>200843</v>
      </c>
      <c r="CM43" s="74" t="s">
        <v>423</v>
      </c>
      <c r="CN43" s="64"/>
      <c r="CO43" s="64"/>
      <c r="CP43" s="64"/>
      <c r="CQ43" s="64"/>
      <c r="CR43" s="64"/>
      <c r="CS43" s="64"/>
      <c r="CT43" s="64"/>
      <c r="CU43" s="64"/>
      <c r="CV43" s="64"/>
    </row>
    <row r="44" spans="1:100" ht="32.1" customHeight="1">
      <c r="A44" s="227"/>
      <c r="B44" s="96" t="str">
        <f>VLOOKUP("STK",Sprachindex!A:Z,Info!$O$6,FALSE)</f>
        <v>STK</v>
      </c>
      <c r="C44" s="95"/>
      <c r="D44" s="95">
        <f>IF(OR(AND(N17=1,N18=2),AND(N17=2,N18=2),AND(N17=3,N18=2)),AA44,IF(OR(AND(N17=2,N18=3),AND(N17=3,N18=3)),AJ44,IF(OR(AND(N17=3,N18=4),AND(N17=4,N18=4)),AS44,0)))</f>
        <v>0</v>
      </c>
      <c r="E44" s="250" t="str">
        <f>VLOOKUP("Schrägstutzen",Sprachindex!A:Z,Info!$O$6,FALSE)</f>
        <v>Schrägstutzen</v>
      </c>
      <c r="F44" s="251"/>
      <c r="G44" s="251"/>
      <c r="H44" s="251"/>
      <c r="I44" s="251"/>
      <c r="J44" s="307" t="str">
        <f>Formeln_RI_P.10!A194</f>
        <v/>
      </c>
      <c r="K44" s="308"/>
      <c r="L44" s="96" t="str">
        <f t="shared" si="4"/>
        <v xml:space="preserve"> </v>
      </c>
      <c r="M44" s="130"/>
      <c r="N44" s="87"/>
      <c r="O44" s="1"/>
      <c r="P44" s="191" t="e">
        <f>ROUNDUP($A44/R44,0)*R44 &amp; "  " &amp; Formeln_RI_P.10!$A$111</f>
        <v>#VALUE!</v>
      </c>
      <c r="Q44" s="191" t="str">
        <f>ROUNDUP($A44/S44,0)*S44 &amp; "  " &amp; Formeln_RI_P.10!$A$111</f>
        <v>0  STK</v>
      </c>
      <c r="R44" s="191" t="str">
        <f>IF(AND(OR($N$17=1,$N$17=2,$N$17=3),$N$18=2),2,IF(AND(OR($N$17=2,$N$17=3),$N$18=3),2,IF(AND(OR($N$17=3,$N$17=4),$N$18=4),2,"")))</f>
        <v/>
      </c>
      <c r="S44" s="191">
        <v>1</v>
      </c>
      <c r="T44" s="64" t="s">
        <v>1385</v>
      </c>
      <c r="U44" s="64" t="s">
        <v>1386</v>
      </c>
      <c r="V44" s="64" t="s">
        <v>1387</v>
      </c>
      <c r="W44" s="64" t="s">
        <v>1388</v>
      </c>
      <c r="X44" s="64" t="s">
        <v>1389</v>
      </c>
      <c r="Y44" s="64" t="s">
        <v>1390</v>
      </c>
      <c r="Z44" s="64" t="s">
        <v>1391</v>
      </c>
      <c r="AA44" s="74" t="str">
        <f t="shared" si="0"/>
        <v>201323</v>
      </c>
      <c r="AB44" s="74">
        <v>80</v>
      </c>
      <c r="AC44" s="64" t="s">
        <v>1392</v>
      </c>
      <c r="AD44" s="64" t="s">
        <v>1393</v>
      </c>
      <c r="AE44" s="64" t="s">
        <v>1394</v>
      </c>
      <c r="AF44" s="64" t="s">
        <v>1395</v>
      </c>
      <c r="AG44" s="64" t="s">
        <v>1396</v>
      </c>
      <c r="AH44" s="64" t="s">
        <v>1397</v>
      </c>
      <c r="AI44" s="64" t="s">
        <v>1398</v>
      </c>
      <c r="AJ44" s="74" t="str">
        <f t="shared" si="6"/>
        <v>201343</v>
      </c>
      <c r="AK44" s="74">
        <v>100</v>
      </c>
      <c r="AL44" s="64" t="s">
        <v>1399</v>
      </c>
      <c r="AM44" s="64" t="s">
        <v>1400</v>
      </c>
      <c r="AN44" s="64" t="s">
        <v>1401</v>
      </c>
      <c r="AO44" s="64" t="s">
        <v>1402</v>
      </c>
      <c r="AP44" s="64" t="s">
        <v>1403</v>
      </c>
      <c r="AQ44" s="64" t="s">
        <v>1404</v>
      </c>
      <c r="AR44" s="64" t="s">
        <v>1405</v>
      </c>
      <c r="AS44" s="74" t="str">
        <f t="shared" si="7"/>
        <v>201363</v>
      </c>
      <c r="AT44" s="74">
        <v>120</v>
      </c>
    </row>
    <row r="45" spans="1:100" ht="32.1" customHeight="1">
      <c r="A45" s="118"/>
      <c r="B45" s="96" t="str">
        <f>VLOOKUP("lfm",Sprachindex!A:Z,Info!$O$6,FALSE)</f>
        <v>lfm</v>
      </c>
      <c r="C45" s="95"/>
      <c r="D45" s="95">
        <v>507300</v>
      </c>
      <c r="E45" s="250" t="str">
        <f>VLOOKUP("Vogelschutzgitter, Lochbreite 5mm, 0,70x125x2000mm, braun/anthrazit",Sprachindex!A:Z,Info!$O$6,FALSE)</f>
        <v>Vogelschutzgitter, Lochbreite 5mm, 0,70x125x2000mm, braun/anthrazit</v>
      </c>
      <c r="F45" s="251"/>
      <c r="G45" s="251"/>
      <c r="H45" s="251"/>
      <c r="I45" s="251"/>
      <c r="J45" s="307"/>
      <c r="K45" s="308"/>
      <c r="L45" s="96" t="str">
        <f t="shared" si="4"/>
        <v xml:space="preserve"> </v>
      </c>
      <c r="M45" s="97"/>
      <c r="O45" s="1"/>
      <c r="P45" s="191" t="str">
        <f>ROUNDUP($A45/2,0)*2 &amp;" " &amp; Formeln!$A$112 &amp; "                " &amp; "(="&amp;ROUNDUP($A45/2,0) &amp; " " &amp;Formeln!$A$111 &amp; ")"</f>
        <v>0 lfm                (=0 STK)</v>
      </c>
      <c r="Q45" s="191" t="str">
        <f>ROUNDUP($A45/2,0)*2 &amp;" " &amp; Formeln!$A$112 &amp; "                " &amp; "(="&amp;ROUNDUP($A45/2,0) &amp; " " &amp;Formeln!$A$111 &amp; ")"</f>
        <v>0 lfm                (=0 STK)</v>
      </c>
      <c r="R45" s="191">
        <v>1</v>
      </c>
      <c r="S45" s="191">
        <v>1</v>
      </c>
      <c r="T45" s="206" t="s">
        <v>74</v>
      </c>
      <c r="U45" s="49" t="s">
        <v>1078</v>
      </c>
      <c r="V45" s="49" t="s">
        <v>76</v>
      </c>
      <c r="W45" s="49" t="s">
        <v>79</v>
      </c>
      <c r="X45" s="49" t="s">
        <v>84</v>
      </c>
      <c r="Y45" s="49" t="s">
        <v>81</v>
      </c>
      <c r="Z45" s="49" t="s">
        <v>1079</v>
      </c>
      <c r="AA45" s="49"/>
      <c r="AB45" s="74"/>
      <c r="AC45" s="206" t="s">
        <v>74</v>
      </c>
      <c r="AD45" s="49" t="s">
        <v>1078</v>
      </c>
      <c r="AE45" s="49" t="s">
        <v>76</v>
      </c>
      <c r="AF45" s="49" t="s">
        <v>79</v>
      </c>
      <c r="AG45" s="49" t="s">
        <v>84</v>
      </c>
      <c r="AH45" s="49" t="s">
        <v>81</v>
      </c>
      <c r="AI45" s="49" t="s">
        <v>1079</v>
      </c>
      <c r="AJ45" s="49"/>
      <c r="AK45" s="74"/>
      <c r="AL45" s="206" t="s">
        <v>74</v>
      </c>
      <c r="AM45" s="49" t="s">
        <v>1078</v>
      </c>
      <c r="AN45" s="49" t="s">
        <v>76</v>
      </c>
      <c r="AO45" s="49" t="s">
        <v>79</v>
      </c>
      <c r="AP45" s="49" t="s">
        <v>84</v>
      </c>
      <c r="AQ45" s="49" t="s">
        <v>81</v>
      </c>
      <c r="AR45" s="49" t="s">
        <v>1079</v>
      </c>
      <c r="AS45" s="49"/>
      <c r="AT45" s="74"/>
      <c r="AU45" s="206" t="s">
        <v>74</v>
      </c>
      <c r="AV45" s="49" t="s">
        <v>1078</v>
      </c>
      <c r="AW45" s="49" t="s">
        <v>76</v>
      </c>
      <c r="AX45" s="49" t="s">
        <v>79</v>
      </c>
      <c r="AY45" s="49" t="s">
        <v>84</v>
      </c>
      <c r="AZ45" s="49" t="s">
        <v>81</v>
      </c>
      <c r="BA45" s="49" t="s">
        <v>1079</v>
      </c>
      <c r="BB45" s="49"/>
      <c r="BC45" s="74"/>
      <c r="BD45" s="206" t="s">
        <v>74</v>
      </c>
      <c r="BE45" s="49" t="s">
        <v>1078</v>
      </c>
      <c r="BF45" s="49" t="s">
        <v>76</v>
      </c>
      <c r="BG45" s="49" t="s">
        <v>79</v>
      </c>
      <c r="BH45" s="49" t="s">
        <v>84</v>
      </c>
      <c r="BI45" s="49" t="s">
        <v>81</v>
      </c>
      <c r="BJ45" s="49" t="s">
        <v>1079</v>
      </c>
      <c r="BK45" s="49"/>
      <c r="BL45" s="74"/>
      <c r="BM45" s="206" t="s">
        <v>74</v>
      </c>
      <c r="BN45" s="49" t="s">
        <v>1078</v>
      </c>
      <c r="BO45" s="49" t="s">
        <v>76</v>
      </c>
      <c r="BP45" s="49" t="s">
        <v>79</v>
      </c>
      <c r="BQ45" s="49" t="s">
        <v>84</v>
      </c>
      <c r="BR45" s="49" t="s">
        <v>81</v>
      </c>
      <c r="BS45" s="49" t="s">
        <v>1079</v>
      </c>
      <c r="BT45" s="49"/>
      <c r="BU45" s="74"/>
      <c r="BV45" s="206" t="s">
        <v>74</v>
      </c>
      <c r="BW45" s="49" t="s">
        <v>1078</v>
      </c>
      <c r="BX45" s="49" t="s">
        <v>76</v>
      </c>
      <c r="BY45" s="49" t="s">
        <v>79</v>
      </c>
      <c r="BZ45" s="49" t="s">
        <v>84</v>
      </c>
      <c r="CA45" s="49" t="s">
        <v>81</v>
      </c>
      <c r="CB45" s="49" t="s">
        <v>1079</v>
      </c>
      <c r="CC45" s="49"/>
      <c r="CD45" s="74"/>
      <c r="CE45" s="206" t="s">
        <v>74</v>
      </c>
      <c r="CF45" s="49" t="s">
        <v>1078</v>
      </c>
      <c r="CG45" s="49" t="s">
        <v>76</v>
      </c>
      <c r="CH45" s="49" t="s">
        <v>79</v>
      </c>
      <c r="CI45" s="49" t="s">
        <v>84</v>
      </c>
      <c r="CJ45" s="49" t="s">
        <v>81</v>
      </c>
      <c r="CK45" s="49" t="s">
        <v>1079</v>
      </c>
      <c r="CL45" s="49"/>
      <c r="CM45" s="74"/>
      <c r="CN45" s="206" t="s">
        <v>74</v>
      </c>
      <c r="CO45" s="49" t="s">
        <v>1078</v>
      </c>
      <c r="CP45" s="49" t="s">
        <v>76</v>
      </c>
      <c r="CQ45" s="49" t="s">
        <v>79</v>
      </c>
      <c r="CR45" s="49" t="s">
        <v>84</v>
      </c>
      <c r="CS45" s="49" t="s">
        <v>81</v>
      </c>
      <c r="CT45" s="49" t="s">
        <v>1079</v>
      </c>
      <c r="CU45" s="49"/>
      <c r="CV45" s="74"/>
    </row>
    <row r="46" spans="1:100" ht="32.1" customHeight="1">
      <c r="A46" s="131"/>
      <c r="B46" s="96" t="str">
        <f>VLOOKUP("STK",Sprachindex!A:Z,Info!$O$6,FALSE)</f>
        <v>STK</v>
      </c>
      <c r="C46" s="95"/>
      <c r="D46" s="95" t="str">
        <f>AA46</f>
        <v>204003</v>
      </c>
      <c r="E46" s="250" t="str">
        <f>VLOOKUP("Überbügel",Sprachindex!A:Z,Info!$O$6,FALSE)</f>
        <v>Überbügel</v>
      </c>
      <c r="F46" s="251"/>
      <c r="G46" s="251"/>
      <c r="H46" s="251"/>
      <c r="I46" s="251"/>
      <c r="J46" s="307" t="str">
        <f>VLOOKUP("4 × 25 × 427 mm",Sprachindex!A:Z,Info!$O$6,FALSE)</f>
        <v>4 × 25 × 427 mm</v>
      </c>
      <c r="K46" s="308"/>
      <c r="L46" s="96" t="str">
        <f t="shared" si="4"/>
        <v xml:space="preserve"> </v>
      </c>
      <c r="M46" s="130"/>
      <c r="N46" s="87"/>
      <c r="O46" s="1"/>
      <c r="P46" s="191" t="str">
        <f>ROUNDUP($A46/R46,0)*R46 &amp; "  " &amp; Formeln_RI_P.10!$A$111</f>
        <v>0  STK</v>
      </c>
      <c r="Q46" s="191" t="str">
        <f>ROUNDUP($A46/S46,0)*S46 &amp; "  " &amp; Formeln_RI_P.10!$A$111</f>
        <v>0  STK</v>
      </c>
      <c r="R46" s="191">
        <v>10</v>
      </c>
      <c r="S46" s="191">
        <v>1</v>
      </c>
      <c r="T46" s="64" t="s">
        <v>1406</v>
      </c>
      <c r="U46" s="64" t="s">
        <v>1407</v>
      </c>
      <c r="V46" s="64" t="s">
        <v>1408</v>
      </c>
      <c r="W46" s="64" t="s">
        <v>1409</v>
      </c>
      <c r="X46" s="64" t="s">
        <v>1410</v>
      </c>
      <c r="Y46" s="64" t="s">
        <v>1411</v>
      </c>
      <c r="Z46" s="64" t="s">
        <v>1412</v>
      </c>
      <c r="AA46" s="74" t="str">
        <f t="shared" si="0"/>
        <v>204003</v>
      </c>
      <c r="AB46" s="74"/>
    </row>
    <row r="47" spans="1:100" ht="32.1" customHeight="1">
      <c r="A47" s="227"/>
      <c r="B47" s="96" t="str">
        <f>VLOOKUP("lfm",Sprachindex!A:Z,Info!$O$6,FALSE)</f>
        <v>lfm</v>
      </c>
      <c r="C47" s="95"/>
      <c r="D47" s="95" t="str">
        <f>IF($N$17=1,AA47,IF($N$17=2,"",IF($N$17=3,AJ47,IF($N$17=4,AS47,""))))</f>
        <v/>
      </c>
      <c r="E47" s="250" t="str">
        <f>VLOOKUP("Kastenrinne 3 m",Sprachindex!A:Z,Info!$O$6,FALSE)</f>
        <v>Kastenrinne 3 m</v>
      </c>
      <c r="F47" s="251"/>
      <c r="G47" s="251"/>
      <c r="H47" s="251"/>
      <c r="I47" s="314"/>
      <c r="J47" s="307" t="str">
        <f>IF($N$17="","",Formeln_RI_P.10!B199)</f>
        <v/>
      </c>
      <c r="K47" s="308"/>
      <c r="L47" s="96" t="str">
        <f t="shared" si="4"/>
        <v xml:space="preserve"> </v>
      </c>
      <c r="M47" s="130"/>
      <c r="N47" s="87"/>
      <c r="O47" s="1"/>
      <c r="P47" s="191" t="e">
        <f>ROUNDUP($A47/$R47,0)*$R47 &amp; "  " &amp; Formeln_RI_P.10!$A$112 &amp; "                     " &amp; " (" &amp; ROUNDUP($A47/$R47,0)*$R47/$S47 &amp; " " &amp; Formeln_RI_P.10!$A$111 &amp; ")"</f>
        <v>#VALUE!</v>
      </c>
      <c r="Q47" s="191" t="str">
        <f>ROUNDUP($A47/$S47,0)*$S47 &amp; "  " &amp; Formeln_RI_P.10!$A$112 &amp; "                     " &amp; " (" &amp; ROUNDUP($A47/$S47,0)*$S47/$S47 &amp; " " &amp; Formeln_RI_P.10!$A$111 &amp; ")"</f>
        <v>0  lfm                      (0 STK)</v>
      </c>
      <c r="R47" s="191" t="str">
        <f>IF($N$17=1,36,IF($N$17=2,"",IF($N$17=3,18,IF($N$17=4,12,""))))</f>
        <v/>
      </c>
      <c r="S47" s="191">
        <v>3</v>
      </c>
      <c r="T47" s="64" t="s">
        <v>1413</v>
      </c>
      <c r="U47" s="64" t="s">
        <v>1414</v>
      </c>
      <c r="V47" s="64" t="s">
        <v>1415</v>
      </c>
      <c r="W47" s="64" t="s">
        <v>1416</v>
      </c>
      <c r="X47" s="64" t="s">
        <v>1417</v>
      </c>
      <c r="Y47" s="64" t="s">
        <v>1418</v>
      </c>
      <c r="Z47" s="64" t="s">
        <v>1419</v>
      </c>
      <c r="AA47" s="74" t="str">
        <f t="shared" si="0"/>
        <v>211023</v>
      </c>
      <c r="AB47" s="74" t="s">
        <v>372</v>
      </c>
      <c r="AC47" s="64" t="s">
        <v>1420</v>
      </c>
      <c r="AD47" s="64" t="s">
        <v>1421</v>
      </c>
      <c r="AE47" s="64" t="s">
        <v>1422</v>
      </c>
      <c r="AF47" s="64" t="s">
        <v>1423</v>
      </c>
      <c r="AG47" s="64" t="s">
        <v>1424</v>
      </c>
      <c r="AH47" s="64" t="s">
        <v>1425</v>
      </c>
      <c r="AI47" s="64" t="s">
        <v>1426</v>
      </c>
      <c r="AJ47" s="74" t="str">
        <f t="shared" ref="AJ47:AJ54" si="13">IF($N$16=1,AC47,IF($N$16=2,AD47,IF($N$16=3,AE47,IF($N$16=4,AF47,IF($N$16=5,AG47,IF($N$16=6,AH47,IF($N$16=7,AI47,0)))))))</f>
        <v>211063</v>
      </c>
      <c r="AK47" s="74" t="s">
        <v>374</v>
      </c>
      <c r="AL47" s="64" t="s">
        <v>1427</v>
      </c>
      <c r="AM47" s="64" t="s">
        <v>1428</v>
      </c>
      <c r="AN47" s="64" t="s">
        <v>1429</v>
      </c>
      <c r="AO47" s="64" t="s">
        <v>1430</v>
      </c>
      <c r="AP47" s="64" t="s">
        <v>1431</v>
      </c>
      <c r="AQ47" s="64" t="s">
        <v>1432</v>
      </c>
      <c r="AR47" s="64" t="s">
        <v>1433</v>
      </c>
      <c r="AS47" s="74" t="str">
        <f t="shared" ref="AS47:AS49" si="14">IF($N$16=1,AL47,IF($N$16=2,AM47,IF($N$16=3,AN47,IF($N$16=4,AO47,IF($N$16=5,AP47,IF($N$16=6,AQ47,IF($N$16=7,AR47,0)))))))</f>
        <v>211103</v>
      </c>
      <c r="AT47" s="74" t="s">
        <v>375</v>
      </c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</row>
    <row r="48" spans="1:100" ht="32.1" customHeight="1">
      <c r="A48" s="227"/>
      <c r="B48" s="96" t="s">
        <v>441</v>
      </c>
      <c r="C48" s="95"/>
      <c r="D48" s="95" t="str">
        <f>IF($N$17=1,AA48,IF($N$17=2,"",IF($N$17=3,AJ48,IF($N$17=4,AS48,""))))</f>
        <v/>
      </c>
      <c r="E48" s="250" t="str">
        <f>VLOOKUP("Kastenrinne 6 m",Sprachindex!A:Z,Info!$O$6,FALSE)</f>
        <v>Kastenrinne 6 m</v>
      </c>
      <c r="F48" s="251"/>
      <c r="G48" s="251"/>
      <c r="H48" s="251"/>
      <c r="I48" s="314"/>
      <c r="J48" s="307" t="str">
        <f>IF($N$17="","",Formeln_RI_P.10!B198)</f>
        <v/>
      </c>
      <c r="K48" s="308"/>
      <c r="L48" s="96" t="str">
        <f t="shared" si="4"/>
        <v xml:space="preserve"> </v>
      </c>
      <c r="M48" s="130"/>
      <c r="N48" s="87"/>
      <c r="O48" s="1"/>
      <c r="P48" s="191" t="e">
        <f>ROUNDUP($A48/$R48,0)*$R48 &amp; "  " &amp; Formeln_RI_P.10!$A$112 &amp; "                     " &amp; " (" &amp; ROUNDUP($A48/$R48,0)*$R48/$S48 &amp; " " &amp; Formeln_RI_P.10!$A$111 &amp; ")"</f>
        <v>#VALUE!</v>
      </c>
      <c r="Q48" s="191" t="str">
        <f>ROUNDUP($A48/$S48,0)*$S48 &amp; "  " &amp; Formeln_RI_P.10!$A$112 &amp; "                     " &amp; " (" &amp; ROUNDUP($A48/$S48,0)*$S48/$S48 &amp; " " &amp; Formeln_RI_P.10!$A$111 &amp; ")"</f>
        <v>0  lfm                      (0 STK)</v>
      </c>
      <c r="R48" s="191" t="str">
        <f>IF($N$17=1,12,IF($N$17=2,"",IF($N$17=3,12,IF($N$17=4,12,""))))</f>
        <v/>
      </c>
      <c r="S48" s="191">
        <v>6</v>
      </c>
      <c r="T48" s="64" t="s">
        <v>1434</v>
      </c>
      <c r="U48" s="64" t="s">
        <v>1435</v>
      </c>
      <c r="V48" s="64" t="s">
        <v>1436</v>
      </c>
      <c r="W48" s="64" t="s">
        <v>1437</v>
      </c>
      <c r="X48" s="64" t="s">
        <v>1438</v>
      </c>
      <c r="Y48" s="64" t="s">
        <v>1439</v>
      </c>
      <c r="Z48" s="64" t="s">
        <v>1440</v>
      </c>
      <c r="AA48" s="74" t="str">
        <f t="shared" si="0"/>
        <v>211003</v>
      </c>
      <c r="AB48" s="74" t="s">
        <v>376</v>
      </c>
      <c r="AC48" s="64" t="s">
        <v>1441</v>
      </c>
      <c r="AD48" s="64" t="s">
        <v>1442</v>
      </c>
      <c r="AE48" s="64" t="s">
        <v>1443</v>
      </c>
      <c r="AF48" s="64" t="s">
        <v>1444</v>
      </c>
      <c r="AG48" s="64" t="s">
        <v>1445</v>
      </c>
      <c r="AH48" s="64" t="s">
        <v>1446</v>
      </c>
      <c r="AI48" s="64" t="s">
        <v>1447</v>
      </c>
      <c r="AJ48" s="74" t="str">
        <f t="shared" si="13"/>
        <v>211043</v>
      </c>
      <c r="AK48" s="74" t="s">
        <v>378</v>
      </c>
      <c r="AL48" s="64" t="s">
        <v>1448</v>
      </c>
      <c r="AM48" s="64" t="s">
        <v>1449</v>
      </c>
      <c r="AN48" s="64" t="s">
        <v>1422</v>
      </c>
      <c r="AO48" s="64" t="s">
        <v>1450</v>
      </c>
      <c r="AP48" s="64" t="s">
        <v>1451</v>
      </c>
      <c r="AQ48" s="64" t="s">
        <v>1452</v>
      </c>
      <c r="AR48" s="64" t="s">
        <v>1453</v>
      </c>
      <c r="AS48" s="74" t="str">
        <f t="shared" si="14"/>
        <v>211083</v>
      </c>
      <c r="AT48" s="74" t="s">
        <v>379</v>
      </c>
      <c r="AU48" s="64"/>
      <c r="AV48" s="64"/>
      <c r="AW48" s="64"/>
      <c r="AX48" s="64"/>
      <c r="AY48" s="64"/>
      <c r="AZ48" s="64"/>
      <c r="BA48" s="64"/>
      <c r="BB48" s="181"/>
      <c r="BC48" s="181"/>
      <c r="BD48" s="64"/>
      <c r="BE48" s="64"/>
      <c r="BF48" s="64"/>
      <c r="BG48" s="64"/>
      <c r="BH48" s="64"/>
      <c r="BI48" s="64"/>
      <c r="BJ48" s="64"/>
      <c r="BK48" s="181"/>
      <c r="BL48" s="181"/>
      <c r="BM48" s="64"/>
      <c r="BN48" s="64"/>
      <c r="BO48" s="64"/>
      <c r="BP48" s="64"/>
      <c r="BQ48" s="64"/>
      <c r="BR48" s="64"/>
      <c r="BS48" s="64"/>
      <c r="BT48" s="181"/>
      <c r="BU48" s="181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</row>
    <row r="49" spans="1:64" ht="32.1" customHeight="1">
      <c r="A49" s="131"/>
      <c r="B49" s="96" t="str">
        <f>VLOOKUP("STK",Sprachindex!A:Z,Info!$O$6,FALSE)</f>
        <v>STK</v>
      </c>
      <c r="C49" s="95"/>
      <c r="D49" s="95">
        <f>IF(N17=1,AA49,IF(N17=3,AJ49,IF(N17=4,AS49,0)))</f>
        <v>0</v>
      </c>
      <c r="E49" s="250" t="str">
        <f>VLOOKUP("Rinnenhaken für Kastenrinne",Sprachindex!A:Z,Info!$O$6,FALSE)</f>
        <v>Rinnenhaken für Kastenrinne</v>
      </c>
      <c r="F49" s="251"/>
      <c r="G49" s="251"/>
      <c r="H49" s="251"/>
      <c r="I49" s="314"/>
      <c r="J49" s="307" t="str">
        <f>Formeln_RI_P.10!A202</f>
        <v/>
      </c>
      <c r="K49" s="308"/>
      <c r="L49" s="96" t="str">
        <f t="shared" si="4"/>
        <v xml:space="preserve"> </v>
      </c>
      <c r="M49" s="130"/>
      <c r="N49" s="87"/>
      <c r="O49" s="1"/>
      <c r="P49" s="191" t="e">
        <f>ROUNDUP($A49/R49,0)*R49 &amp; "  " &amp; Formeln_RI_P.10!$A$111</f>
        <v>#VALUE!</v>
      </c>
      <c r="Q49" s="191" t="e">
        <f>ROUNDUP($A49/S49,0)*S49 &amp; "  " &amp; Formeln_RI_P.10!$A$111</f>
        <v>#VALUE!</v>
      </c>
      <c r="R49" s="191" t="str">
        <f>IF($N$17=1,35,IF($N$17=3,24,IF($N$17=4,18,"")))</f>
        <v/>
      </c>
      <c r="S49" s="191" t="str">
        <f>IF(OR($N$17=1,$N$17=3,$N$17=4),1,"")</f>
        <v/>
      </c>
      <c r="T49" s="64" t="s">
        <v>1454</v>
      </c>
      <c r="U49" s="64" t="s">
        <v>1455</v>
      </c>
      <c r="V49" s="64" t="s">
        <v>1456</v>
      </c>
      <c r="W49" s="64" t="s">
        <v>1457</v>
      </c>
      <c r="X49" s="64" t="s">
        <v>1458</v>
      </c>
      <c r="Y49" s="64" t="s">
        <v>1459</v>
      </c>
      <c r="Z49" s="64" t="s">
        <v>1460</v>
      </c>
      <c r="AA49" s="74" t="str">
        <f t="shared" si="0"/>
        <v>202023</v>
      </c>
      <c r="AB49" s="74" t="s">
        <v>443</v>
      </c>
      <c r="AC49" s="64" t="s">
        <v>1461</v>
      </c>
      <c r="AD49" s="64" t="s">
        <v>1462</v>
      </c>
      <c r="AE49" s="64" t="s">
        <v>1463</v>
      </c>
      <c r="AF49" s="64" t="s">
        <v>1464</v>
      </c>
      <c r="AG49" s="64" t="s">
        <v>1465</v>
      </c>
      <c r="AH49" s="64" t="s">
        <v>1466</v>
      </c>
      <c r="AI49" s="64" t="s">
        <v>1467</v>
      </c>
      <c r="AJ49" s="74" t="str">
        <f t="shared" si="13"/>
        <v>202103</v>
      </c>
      <c r="AK49" s="74" t="s">
        <v>395</v>
      </c>
      <c r="AL49" s="64" t="s">
        <v>1468</v>
      </c>
      <c r="AM49" s="64" t="s">
        <v>1469</v>
      </c>
      <c r="AN49" s="64" t="s">
        <v>1470</v>
      </c>
      <c r="AO49" s="64" t="s">
        <v>1471</v>
      </c>
      <c r="AP49" s="64" t="s">
        <v>1472</v>
      </c>
      <c r="AQ49" s="64" t="s">
        <v>1473</v>
      </c>
      <c r="AR49" s="64" t="s">
        <v>1474</v>
      </c>
      <c r="AS49" s="74" t="str">
        <f t="shared" si="14"/>
        <v>202203</v>
      </c>
      <c r="AT49" s="74" t="s">
        <v>444</v>
      </c>
      <c r="AU49" s="64"/>
      <c r="AV49" s="64"/>
      <c r="AW49" s="64"/>
      <c r="AX49" s="64"/>
      <c r="AY49" s="64"/>
      <c r="AZ49" s="64"/>
      <c r="BA49" s="64"/>
      <c r="BB49" s="64"/>
      <c r="BC49" s="64"/>
    </row>
    <row r="50" spans="1:64" ht="32.1" customHeight="1">
      <c r="A50" s="131"/>
      <c r="B50" s="96" t="str">
        <f>VLOOKUP("STK",Sprachindex!A:Z,Info!$O$6,FALSE)</f>
        <v>STK</v>
      </c>
      <c r="C50" s="95"/>
      <c r="D50" s="95">
        <f>IF(N17=1,AA50,IF(N17=3,AJ50,0))</f>
        <v>0</v>
      </c>
      <c r="E50" s="250" t="str">
        <f>VLOOKUP("Stirnbretthaken für Kastenrinnen",Sprachindex!A:Z,Info!$O$6,FALSE)</f>
        <v>Stirnbretthaken für Kastenrinnen</v>
      </c>
      <c r="F50" s="251"/>
      <c r="G50" s="251"/>
      <c r="H50" s="251"/>
      <c r="I50" s="251"/>
      <c r="J50" s="307" t="str">
        <f>Formeln_RI_P.10!A210</f>
        <v/>
      </c>
      <c r="K50" s="308"/>
      <c r="L50" s="96" t="str">
        <f t="shared" si="4"/>
        <v xml:space="preserve"> </v>
      </c>
      <c r="M50" s="130"/>
      <c r="N50" s="87"/>
      <c r="O50" s="1"/>
      <c r="P50" s="191" t="e">
        <f>ROUNDUP($A50/R50,0)*R50 &amp; "  " &amp; Formeln_RI_P.10!$A$111</f>
        <v>#VALUE!</v>
      </c>
      <c r="Q50" s="191" t="e">
        <f>ROUNDUP($A50/S50,0)*S50 &amp; "  " &amp; Formeln_RI_P.10!$A$111</f>
        <v>#VALUE!</v>
      </c>
      <c r="R50" s="191" t="str">
        <f>IF(OR($N$17=1,$N$17=3),10,"")</f>
        <v/>
      </c>
      <c r="S50" s="191" t="str">
        <f>IF(OR($N$17=1,$N$17=3),1,"")</f>
        <v/>
      </c>
      <c r="T50" s="64" t="s">
        <v>1475</v>
      </c>
      <c r="U50" s="64" t="s">
        <v>1476</v>
      </c>
      <c r="V50" s="64" t="s">
        <v>1477</v>
      </c>
      <c r="W50" s="64" t="s">
        <v>1478</v>
      </c>
      <c r="X50" s="64" t="s">
        <v>1479</v>
      </c>
      <c r="Y50" s="64" t="s">
        <v>1480</v>
      </c>
      <c r="Z50" s="64" t="s">
        <v>1481</v>
      </c>
      <c r="AA50" s="74" t="str">
        <f t="shared" si="0"/>
        <v>202043</v>
      </c>
      <c r="AB50" s="74" t="s">
        <v>393</v>
      </c>
      <c r="AC50" s="64" t="s">
        <v>1482</v>
      </c>
      <c r="AD50" s="64" t="s">
        <v>1483</v>
      </c>
      <c r="AE50" s="64" t="s">
        <v>1484</v>
      </c>
      <c r="AF50" s="64" t="s">
        <v>1485</v>
      </c>
      <c r="AG50" s="64" t="s">
        <v>1486</v>
      </c>
      <c r="AH50" s="64" t="s">
        <v>1487</v>
      </c>
      <c r="AI50" s="64" t="s">
        <v>1488</v>
      </c>
      <c r="AJ50" s="74" t="str">
        <f t="shared" si="13"/>
        <v>202123</v>
      </c>
      <c r="AK50" s="74" t="s">
        <v>395</v>
      </c>
    </row>
    <row r="51" spans="1:64" ht="32.1" customHeight="1">
      <c r="A51" s="131"/>
      <c r="B51" s="96" t="str">
        <f>VLOOKUP("STK",Sprachindex!A:Z,Info!$O$6,FALSE)</f>
        <v>STK</v>
      </c>
      <c r="C51" s="95"/>
      <c r="D51" s="95">
        <f>IF(N17=1,AA51,IF(N17=3,AJ51,IF(N17=4,AS51,0)))</f>
        <v>0</v>
      </c>
      <c r="E51" s="250" t="str">
        <f>VLOOKUP("Kastenrinnen-Endboden ",Sprachindex!A:Z,Info!$O$6,FALSE)</f>
        <v xml:space="preserve">Kastenrinnen-Endboden </v>
      </c>
      <c r="F51" s="251"/>
      <c r="G51" s="251"/>
      <c r="H51" s="251"/>
      <c r="I51" s="251"/>
      <c r="J51" s="307" t="str">
        <f>Formeln_RI_P.10!A214</f>
        <v/>
      </c>
      <c r="K51" s="308"/>
      <c r="L51" s="96" t="str">
        <f t="shared" si="4"/>
        <v xml:space="preserve"> </v>
      </c>
      <c r="M51" s="130"/>
      <c r="N51" s="87"/>
      <c r="O51" s="1"/>
      <c r="P51" s="191" t="e">
        <f>ROUNDUP($A51/R51,0)*R51 &amp; "  " &amp; Formeln_RI_P.10!$A$111</f>
        <v>#VALUE!</v>
      </c>
      <c r="Q51" s="191" t="e">
        <f>ROUNDUP($A51/S51,0)*S51 &amp; "  " &amp; Formeln_RI_P.10!$A$111</f>
        <v>#VALUE!</v>
      </c>
      <c r="R51" s="191" t="str">
        <f>IF(OR($N$17=1,$N$17=3,$N$17=4),50,"")</f>
        <v/>
      </c>
      <c r="S51" s="191" t="str">
        <f>IF(OR($N$17=1,$N$17=3,$N$17=4),1,"")</f>
        <v/>
      </c>
      <c r="T51" s="64" t="s">
        <v>1489</v>
      </c>
      <c r="U51" s="64" t="s">
        <v>1490</v>
      </c>
      <c r="V51" s="64" t="s">
        <v>1491</v>
      </c>
      <c r="W51" s="64" t="s">
        <v>1492</v>
      </c>
      <c r="X51" s="64" t="s">
        <v>1493</v>
      </c>
      <c r="Y51" s="64" t="s">
        <v>1494</v>
      </c>
      <c r="Z51" s="64" t="s">
        <v>1495</v>
      </c>
      <c r="AA51" s="74" t="str">
        <f t="shared" si="0"/>
        <v>200103</v>
      </c>
      <c r="AB51" s="74" t="s">
        <v>408</v>
      </c>
      <c r="AC51" s="64" t="s">
        <v>1496</v>
      </c>
      <c r="AD51" s="64" t="s">
        <v>1497</v>
      </c>
      <c r="AE51" s="64" t="s">
        <v>1498</v>
      </c>
      <c r="AF51" s="64" t="s">
        <v>1499</v>
      </c>
      <c r="AG51" s="64" t="s">
        <v>1500</v>
      </c>
      <c r="AH51" s="64" t="s">
        <v>1501</v>
      </c>
      <c r="AI51" s="64" t="s">
        <v>1502</v>
      </c>
      <c r="AJ51" s="74" t="str">
        <f t="shared" si="13"/>
        <v>200123</v>
      </c>
      <c r="AK51" s="74" t="s">
        <v>410</v>
      </c>
      <c r="AL51" s="64" t="s">
        <v>1503</v>
      </c>
      <c r="AM51" s="64" t="s">
        <v>1504</v>
      </c>
      <c r="AN51" s="64" t="s">
        <v>1505</v>
      </c>
      <c r="AO51" s="64" t="s">
        <v>1506</v>
      </c>
      <c r="AP51" s="64" t="s">
        <v>1507</v>
      </c>
      <c r="AQ51" s="64" t="s">
        <v>1508</v>
      </c>
      <c r="AR51" s="64" t="s">
        <v>1509</v>
      </c>
      <c r="AS51" s="74" t="str">
        <f t="shared" ref="AS51:AS54" si="15">IF($N$16=1,AL51,IF($N$16=2,AM51,IF($N$16=3,AN51,IF($N$16=4,AO51,IF($N$16=5,AP51,IF($N$16=6,AQ51,IF($N$16=7,AR51,0)))))))</f>
        <v>200143</v>
      </c>
      <c r="AT51" s="74" t="s">
        <v>411</v>
      </c>
    </row>
    <row r="52" spans="1:64" ht="32.1" customHeight="1">
      <c r="A52" s="131"/>
      <c r="B52" s="96" t="str">
        <f>VLOOKUP("STK",Sprachindex!A:Z,Info!$O$6,FALSE)</f>
        <v>STK</v>
      </c>
      <c r="C52" s="95"/>
      <c r="D52" s="95">
        <f>IF($N$17=1,AA52,IF($N$17=3,AJ52,IF($N$17=4,AS52,IF($N$17=5,BB52,0))))</f>
        <v>0</v>
      </c>
      <c r="E52" s="250" t="str">
        <f>VLOOKUP("Kastenrinnenwinkel, außen",Sprachindex!A:Z,Info!$O$6,FALSE)</f>
        <v>Kastenrinnenwinkel, außen</v>
      </c>
      <c r="F52" s="251"/>
      <c r="G52" s="251"/>
      <c r="H52" s="251"/>
      <c r="I52" s="251"/>
      <c r="J52" s="307" t="str">
        <f>Formeln_RI_P.10!A178</f>
        <v/>
      </c>
      <c r="K52" s="308"/>
      <c r="L52" s="96" t="str">
        <f t="shared" si="4"/>
        <v xml:space="preserve"> </v>
      </c>
      <c r="M52" s="130"/>
      <c r="N52" s="87"/>
      <c r="O52" s="1"/>
      <c r="P52" s="191" t="e">
        <f>ROUNDUP($A52/R52,0)*R52 &amp; "  " &amp; Formeln_RI_P.10!$A$111</f>
        <v>#VALUE!</v>
      </c>
      <c r="Q52" s="191" t="e">
        <f>ROUNDUP($A52/S52,0)*S52 &amp; "  " &amp; Formeln_RI_P.10!$A$111</f>
        <v>#VALUE!</v>
      </c>
      <c r="R52" s="191" t="str">
        <f>IF($N$17=1,4,IF($N$17=3,4,IF($N$17=4,2,"")))</f>
        <v/>
      </c>
      <c r="S52" s="191" t="str">
        <f>IF(OR($N$17=1,$N$17=3,$N$17=4),1,"")</f>
        <v/>
      </c>
      <c r="T52" s="64" t="s">
        <v>1510</v>
      </c>
      <c r="U52" s="64" t="s">
        <v>1511</v>
      </c>
      <c r="V52" s="64" t="s">
        <v>1512</v>
      </c>
      <c r="W52" s="64" t="s">
        <v>1513</v>
      </c>
      <c r="X52" s="64" t="s">
        <v>1514</v>
      </c>
      <c r="Y52" s="64" t="s">
        <v>1515</v>
      </c>
      <c r="Z52" s="64" t="s">
        <v>1516</v>
      </c>
      <c r="AA52" s="74" t="str">
        <f t="shared" si="0"/>
        <v>200503</v>
      </c>
      <c r="AB52" s="74" t="s">
        <v>408</v>
      </c>
      <c r="AC52" s="64" t="s">
        <v>1517</v>
      </c>
      <c r="AD52" s="64" t="s">
        <v>1518</v>
      </c>
      <c r="AE52" s="64" t="s">
        <v>1519</v>
      </c>
      <c r="AF52" s="64" t="s">
        <v>1520</v>
      </c>
      <c r="AG52" s="64" t="s">
        <v>1521</v>
      </c>
      <c r="AH52" s="64" t="s">
        <v>1522</v>
      </c>
      <c r="AI52" s="64" t="s">
        <v>1523</v>
      </c>
      <c r="AJ52" s="74" t="str">
        <f t="shared" si="13"/>
        <v>200543</v>
      </c>
      <c r="AK52" s="74" t="s">
        <v>410</v>
      </c>
      <c r="AL52" s="64" t="s">
        <v>1524</v>
      </c>
      <c r="AM52" s="64" t="s">
        <v>1525</v>
      </c>
      <c r="AN52" s="64" t="s">
        <v>1526</v>
      </c>
      <c r="AO52" s="64" t="s">
        <v>1527</v>
      </c>
      <c r="AP52" s="64" t="s">
        <v>1528</v>
      </c>
      <c r="AQ52" s="64" t="s">
        <v>1529</v>
      </c>
      <c r="AR52" s="64" t="s">
        <v>1530</v>
      </c>
      <c r="AS52" s="74" t="str">
        <f t="shared" si="15"/>
        <v>200583</v>
      </c>
      <c r="AT52" s="74" t="s">
        <v>411</v>
      </c>
      <c r="AU52" s="64"/>
      <c r="AV52" s="64"/>
      <c r="AW52" s="64"/>
      <c r="AX52" s="64"/>
      <c r="AY52" s="64"/>
      <c r="AZ52" s="64"/>
      <c r="BA52" s="64"/>
    </row>
    <row r="53" spans="1:64" ht="32.1" customHeight="1">
      <c r="A53" s="131"/>
      <c r="B53" s="96" t="str">
        <f>VLOOKUP("STK",Sprachindex!A:Z,Info!$O$6,FALSE)</f>
        <v>STK</v>
      </c>
      <c r="C53" s="95"/>
      <c r="D53" s="95">
        <f>IF($N$17=1,AA53,IF($N$17=3,AJ53,IF($N$17=4,AS53,IF($N$17=5,BB53,0))))</f>
        <v>0</v>
      </c>
      <c r="E53" s="250" t="str">
        <f>VLOOKUP("Kastenrinnenwinkel, innen",Sprachindex!A:Z,Info!$O$6,FALSE)</f>
        <v>Kastenrinnenwinkel, innen</v>
      </c>
      <c r="F53" s="251"/>
      <c r="G53" s="251"/>
      <c r="H53" s="251"/>
      <c r="I53" s="251"/>
      <c r="J53" s="307" t="str">
        <f>Formeln_RI_P.10!A178</f>
        <v/>
      </c>
      <c r="K53" s="308"/>
      <c r="L53" s="96" t="str">
        <f t="shared" si="4"/>
        <v xml:space="preserve"> </v>
      </c>
      <c r="M53" s="130"/>
      <c r="N53" s="87"/>
      <c r="O53" s="1"/>
      <c r="P53" s="191" t="e">
        <f>ROUNDUP($A53/R53,0)*R53 &amp; "  " &amp; Formeln_RI_P.10!$A$111</f>
        <v>#VALUE!</v>
      </c>
      <c r="Q53" s="191" t="e">
        <f>ROUNDUP($A53/S53,0)*S53 &amp; "  " &amp; Formeln_RI_P.10!$A$111</f>
        <v>#VALUE!</v>
      </c>
      <c r="R53" s="191" t="str">
        <f>IF($N$17=1,4,IF($N$17=3,4,IF($N$17=4,2,"")))</f>
        <v/>
      </c>
      <c r="S53" s="191" t="str">
        <f>IF(OR($N$17=1,$N$17=3,$N$17=4),1,"")</f>
        <v/>
      </c>
      <c r="T53" s="64" t="s">
        <v>1531</v>
      </c>
      <c r="U53" s="64" t="s">
        <v>1532</v>
      </c>
      <c r="V53" s="64" t="s">
        <v>1533</v>
      </c>
      <c r="W53" s="64" t="s">
        <v>1534</v>
      </c>
      <c r="X53" s="64" t="s">
        <v>1535</v>
      </c>
      <c r="Y53" s="64" t="s">
        <v>1536</v>
      </c>
      <c r="Z53" s="64" t="s">
        <v>1537</v>
      </c>
      <c r="AA53" s="74" t="str">
        <f t="shared" si="0"/>
        <v>200523</v>
      </c>
      <c r="AB53" s="74" t="s">
        <v>408</v>
      </c>
      <c r="AC53" s="64" t="s">
        <v>1538</v>
      </c>
      <c r="AD53" s="64" t="s">
        <v>1539</v>
      </c>
      <c r="AE53" s="64" t="s">
        <v>1540</v>
      </c>
      <c r="AF53" s="64" t="s">
        <v>1541</v>
      </c>
      <c r="AG53" s="64" t="s">
        <v>1542</v>
      </c>
      <c r="AH53" s="64" t="s">
        <v>1543</v>
      </c>
      <c r="AI53" s="64" t="s">
        <v>1544</v>
      </c>
      <c r="AJ53" s="74" t="str">
        <f t="shared" si="13"/>
        <v>200563</v>
      </c>
      <c r="AK53" s="74" t="s">
        <v>410</v>
      </c>
      <c r="AL53" s="64" t="s">
        <v>1545</v>
      </c>
      <c r="AM53" s="64" t="s">
        <v>1546</v>
      </c>
      <c r="AN53" s="64" t="s">
        <v>1547</v>
      </c>
      <c r="AO53" s="64" t="s">
        <v>1548</v>
      </c>
      <c r="AP53" s="64" t="s">
        <v>1549</v>
      </c>
      <c r="AQ53" s="64" t="s">
        <v>1550</v>
      </c>
      <c r="AR53" s="64" t="s">
        <v>1551</v>
      </c>
      <c r="AS53" s="74" t="str">
        <f t="shared" si="15"/>
        <v>200603</v>
      </c>
      <c r="AT53" s="74" t="s">
        <v>411</v>
      </c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</row>
    <row r="54" spans="1:64" ht="32.1" customHeight="1">
      <c r="A54" s="227"/>
      <c r="B54" s="96" t="str">
        <f>VLOOKUP("STK",Sprachindex!A:Z,Info!$O$6,FALSE)</f>
        <v>STK</v>
      </c>
      <c r="C54" s="95"/>
      <c r="D54" s="95">
        <f>IF(AND(N17=1,N18=2),AA54,IF(AND(N17=3,N18=3),AJ54,IF(AND(N17=4,N18=4),AS54,IF(AND(N17=5,N18=4),BB54,IF(AND(N17=5,N18=5),BK54,0)))))</f>
        <v>0</v>
      </c>
      <c r="E54" s="250" t="str">
        <f>VLOOKUP("Kastenrinnenkessel",Sprachindex!A:Z,Info!$O$6,FALSE)</f>
        <v>Kastenrinnenkessel</v>
      </c>
      <c r="F54" s="251"/>
      <c r="G54" s="251"/>
      <c r="H54" s="251"/>
      <c r="I54" s="101"/>
      <c r="J54" s="301" t="str">
        <f>Formeln_RI_P.10!A217</f>
        <v/>
      </c>
      <c r="K54" s="309"/>
      <c r="L54" s="96" t="str">
        <f t="shared" si="4"/>
        <v xml:space="preserve"> </v>
      </c>
      <c r="M54" s="130"/>
      <c r="N54" s="87"/>
      <c r="O54" s="1"/>
      <c r="P54" s="191" t="e">
        <f>ROUNDUP($A54/R54,0)*R54 &amp; "  " &amp; Formeln_RI_P.10!$A$111</f>
        <v>#VALUE!</v>
      </c>
      <c r="Q54" s="191" t="str">
        <f>ROUNDUP($A54/S54,0)*S54 &amp; "  " &amp; Formeln_RI_P.10!$A$111</f>
        <v>0  STK</v>
      </c>
      <c r="R54" s="191" t="str">
        <f>IF(AND($N$17=1,$N$18=2),6,IF(AND($N$17=3,$N$18=3),10,IF(AND($N$17=4,$N$18=4),6,"")))</f>
        <v/>
      </c>
      <c r="S54" s="191">
        <v>1</v>
      </c>
      <c r="T54" s="64" t="s">
        <v>1552</v>
      </c>
      <c r="U54" s="64" t="s">
        <v>1553</v>
      </c>
      <c r="V54" s="64" t="s">
        <v>1554</v>
      </c>
      <c r="W54" s="64" t="s">
        <v>1555</v>
      </c>
      <c r="X54" s="64" t="s">
        <v>1556</v>
      </c>
      <c r="Y54" s="64" t="s">
        <v>1557</v>
      </c>
      <c r="Z54" s="64" t="s">
        <v>1558</v>
      </c>
      <c r="AA54" s="74" t="str">
        <f t="shared" si="0"/>
        <v>200903</v>
      </c>
      <c r="AB54" s="74" t="s">
        <v>417</v>
      </c>
      <c r="AC54" s="64" t="s">
        <v>1559</v>
      </c>
      <c r="AD54" s="64" t="s">
        <v>1560</v>
      </c>
      <c r="AE54" s="64" t="s">
        <v>1561</v>
      </c>
      <c r="AF54" s="64" t="s">
        <v>1562</v>
      </c>
      <c r="AG54" s="64" t="s">
        <v>1563</v>
      </c>
      <c r="AH54" s="64" t="s">
        <v>1564</v>
      </c>
      <c r="AI54" s="64" t="s">
        <v>1565</v>
      </c>
      <c r="AJ54" s="74" t="str">
        <f t="shared" si="13"/>
        <v>200923</v>
      </c>
      <c r="AK54" s="74" t="s">
        <v>421</v>
      </c>
      <c r="AL54" s="64" t="s">
        <v>1566</v>
      </c>
      <c r="AM54" s="64" t="s">
        <v>1567</v>
      </c>
      <c r="AN54" s="64" t="s">
        <v>1568</v>
      </c>
      <c r="AO54" s="64" t="s">
        <v>1569</v>
      </c>
      <c r="AP54" s="64" t="s">
        <v>1570</v>
      </c>
      <c r="AQ54" s="64" t="s">
        <v>1571</v>
      </c>
      <c r="AR54" s="64" t="s">
        <v>1572</v>
      </c>
      <c r="AS54" s="74" t="str">
        <f t="shared" si="15"/>
        <v>200943</v>
      </c>
      <c r="AT54" s="74" t="s">
        <v>423</v>
      </c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</row>
    <row r="55" spans="1:64" ht="32.1" customHeight="1">
      <c r="A55" s="131"/>
      <c r="B55" s="96" t="str">
        <f>VLOOKUP("lfm",Sprachindex!A:Z,Info!$O$6,FALSE)</f>
        <v>lfm</v>
      </c>
      <c r="C55" s="95"/>
      <c r="D55" s="95" t="str">
        <f>AA55</f>
        <v>212003</v>
      </c>
      <c r="E55" s="250" t="str">
        <f>VLOOKUP("Saumrinne",Sprachindex!A:Z,Info!$O$6,FALSE)</f>
        <v>Saumrinne</v>
      </c>
      <c r="F55" s="251"/>
      <c r="G55" s="251"/>
      <c r="H55" s="251"/>
      <c r="I55" s="251"/>
      <c r="J55" s="307" t="str">
        <f>VLOOKUP("700 × 1,0 mm",Sprachindex!A:Z,Info!$O$6,FALSE)</f>
        <v>700 × 1,0 mm</v>
      </c>
      <c r="K55" s="308"/>
      <c r="L55" s="96" t="str">
        <f t="shared" si="4"/>
        <v xml:space="preserve"> </v>
      </c>
      <c r="M55" s="130"/>
      <c r="N55" s="87"/>
      <c r="O55" s="1"/>
      <c r="P55" s="191" t="str">
        <f>ROUNDUP($A55/$R55,0)*$R55 &amp; "  " &amp; Formeln_RI_P.10!$A$112 &amp; "                     " &amp; " (" &amp; ROUNDUP($A55/$R55,0)*$R55/$S55 &amp; " " &amp; Formeln_RI_P.10!$A$111 &amp; ")"</f>
        <v>0  lfm                      (0 STK)</v>
      </c>
      <c r="Q55" s="191" t="str">
        <f>ROUNDUP($A55/$S55,0)*$S55 &amp; "  " &amp; Formeln_RI_P.10!$A$112 &amp; "                     " &amp; " (" &amp; ROUNDUP($A55/$S55,0)*$S55/$S55 &amp; " " &amp; Formeln_RI_P.10!$A$111 &amp; ")"</f>
        <v>0  lfm                      (0 STK)</v>
      </c>
      <c r="R55" s="191">
        <v>6</v>
      </c>
      <c r="S55" s="191">
        <v>6</v>
      </c>
      <c r="T55" s="64" t="s">
        <v>1573</v>
      </c>
      <c r="U55" s="64" t="s">
        <v>1574</v>
      </c>
      <c r="V55" s="64" t="s">
        <v>1575</v>
      </c>
      <c r="W55" s="64" t="s">
        <v>1576</v>
      </c>
      <c r="X55" s="64" t="s">
        <v>1577</v>
      </c>
      <c r="Y55" s="64" t="s">
        <v>1578</v>
      </c>
      <c r="Z55" s="64" t="s">
        <v>1579</v>
      </c>
      <c r="AA55" s="74" t="str">
        <f t="shared" si="0"/>
        <v>212003</v>
      </c>
      <c r="AB55" s="74"/>
    </row>
    <row r="56" spans="1:64" ht="32.1" customHeight="1">
      <c r="A56" s="131"/>
      <c r="B56" s="96" t="str">
        <f>VLOOKUP("STK",Sprachindex!A:Z,Info!$O$6,FALSE)</f>
        <v>STK</v>
      </c>
      <c r="C56" s="95"/>
      <c r="D56" s="95" t="str">
        <f>AA56</f>
        <v>200223</v>
      </c>
      <c r="E56" s="250" t="str">
        <f>VLOOKUP("Saumrinnen-Endboden ",Sprachindex!A:Z,Info!$O$6,FALSE)</f>
        <v xml:space="preserve">Saumrinnen-Endboden </v>
      </c>
      <c r="F56" s="251"/>
      <c r="G56" s="251"/>
      <c r="H56" s="251"/>
      <c r="I56" s="251"/>
      <c r="J56" s="307"/>
      <c r="K56" s="308"/>
      <c r="L56" s="96" t="str">
        <f t="shared" si="4"/>
        <v xml:space="preserve"> </v>
      </c>
      <c r="M56" s="130"/>
      <c r="N56" s="87"/>
      <c r="O56" s="1"/>
      <c r="P56" s="191" t="str">
        <f>ROUNDUP($A56/R56,0)*R56 &amp; "  " &amp; Formeln_RI_P.10!$A$111</f>
        <v>0  STK</v>
      </c>
      <c r="Q56" s="191" t="str">
        <f>ROUNDUP($A56/S56,0)*S56 &amp; "  " &amp; Formeln_RI_P.10!$A$111</f>
        <v>0  STK</v>
      </c>
      <c r="R56" s="191">
        <v>1</v>
      </c>
      <c r="S56" s="191">
        <v>1</v>
      </c>
      <c r="T56" s="64" t="s">
        <v>1580</v>
      </c>
      <c r="U56" s="64" t="s">
        <v>1581</v>
      </c>
      <c r="V56" s="64" t="s">
        <v>1582</v>
      </c>
      <c r="W56" s="64" t="s">
        <v>1583</v>
      </c>
      <c r="X56" s="64" t="s">
        <v>1584</v>
      </c>
      <c r="Y56" s="64" t="s">
        <v>1585</v>
      </c>
      <c r="Z56" s="64" t="s">
        <v>1586</v>
      </c>
      <c r="AA56" s="74" t="str">
        <f t="shared" si="0"/>
        <v>200223</v>
      </c>
      <c r="AB56" s="74"/>
    </row>
    <row r="57" spans="1:64" ht="32.1" customHeight="1">
      <c r="A57" s="131"/>
      <c r="B57" s="96" t="str">
        <f>VLOOKUP("STK",Sprachindex!A:Z,Info!$O$6,FALSE)</f>
        <v>STK</v>
      </c>
      <c r="C57" s="95"/>
      <c r="D57" s="95" t="str">
        <f>AA57</f>
        <v>201383</v>
      </c>
      <c r="E57" s="250" t="str">
        <f>VLOOKUP("Saumrinnenstutzen",Sprachindex!A:Z,Info!$O$6,FALSE)</f>
        <v>Saumrinnenstutzen</v>
      </c>
      <c r="F57" s="251"/>
      <c r="G57" s="251"/>
      <c r="H57" s="251"/>
      <c r="I57" s="251"/>
      <c r="J57" s="307" t="str">
        <f>VLOOKUP("100 ⌀",Sprachindex!A:Z,Info!$O$6,FALSE)</f>
        <v>100 ⌀</v>
      </c>
      <c r="K57" s="308"/>
      <c r="L57" s="96" t="str">
        <f t="shared" si="4"/>
        <v xml:space="preserve"> </v>
      </c>
      <c r="M57" s="130"/>
      <c r="N57" s="87"/>
      <c r="O57" s="1"/>
      <c r="P57" s="191" t="str">
        <f>ROUNDUP($A57/R57,0)*R57 &amp; "  " &amp; Formeln_RI_P.10!$A$111</f>
        <v>0  STK</v>
      </c>
      <c r="Q57" s="191" t="str">
        <f>ROUNDUP($A57/S57,0)*S57 &amp; "  " &amp; Formeln_RI_P.10!$A$111</f>
        <v>0  STK</v>
      </c>
      <c r="R57" s="191">
        <v>1</v>
      </c>
      <c r="S57" s="191">
        <v>1</v>
      </c>
      <c r="T57" s="64" t="s">
        <v>1587</v>
      </c>
      <c r="U57" s="64" t="s">
        <v>1588</v>
      </c>
      <c r="V57" s="64" t="s">
        <v>1589</v>
      </c>
      <c r="W57" s="64" t="s">
        <v>1590</v>
      </c>
      <c r="X57" s="64" t="s">
        <v>1591</v>
      </c>
      <c r="Y57" s="64" t="s">
        <v>1592</v>
      </c>
      <c r="Z57" s="64" t="s">
        <v>1593</v>
      </c>
      <c r="AA57" s="74" t="str">
        <f t="shared" si="0"/>
        <v>201383</v>
      </c>
      <c r="AB57" s="74"/>
    </row>
    <row r="58" spans="1:64" ht="32.1" customHeight="1">
      <c r="A58" s="131"/>
      <c r="B58" s="96" t="str">
        <f>VLOOKUP("STK",Sprachindex!A:Z,Info!$O$6,FALSE)</f>
        <v>STK</v>
      </c>
      <c r="C58" s="95"/>
      <c r="D58" s="95" t="str">
        <f>AA58</f>
        <v>202003</v>
      </c>
      <c r="E58" s="250" t="str">
        <f>VLOOKUP("Saumrinnenhaken",Sprachindex!A:Z,Info!$O$6,FALSE)</f>
        <v>Saumrinnenhaken</v>
      </c>
      <c r="F58" s="251"/>
      <c r="G58" s="251"/>
      <c r="H58" s="251"/>
      <c r="I58" s="251"/>
      <c r="J58" s="307" t="str">
        <f>VLOOKUP("28 × 7 mm",Sprachindex!A:Z,Info!$O$6,FALSE)</f>
        <v>28 × 7 mm</v>
      </c>
      <c r="K58" s="308"/>
      <c r="L58" s="96" t="str">
        <f t="shared" si="4"/>
        <v xml:space="preserve"> </v>
      </c>
      <c r="M58" s="130"/>
      <c r="N58" s="87"/>
      <c r="O58" s="1"/>
      <c r="P58" s="191" t="str">
        <f>ROUNDUP($A58/R58,0)*R58 &amp; "  " &amp; Formeln_RI_P.10!$A$111</f>
        <v>0  STK</v>
      </c>
      <c r="Q58" s="191" t="str">
        <f>ROUNDUP($A58/S58,0)*S58 &amp; "  " &amp; Formeln_RI_P.10!$A$111</f>
        <v>0  STK</v>
      </c>
      <c r="R58" s="191">
        <v>20</v>
      </c>
      <c r="S58" s="191">
        <v>1</v>
      </c>
      <c r="T58" s="64" t="s">
        <v>1594</v>
      </c>
      <c r="U58" s="64" t="s">
        <v>1595</v>
      </c>
      <c r="V58" s="64" t="s">
        <v>1596</v>
      </c>
      <c r="W58" s="64" t="s">
        <v>1597</v>
      </c>
      <c r="X58" s="64" t="s">
        <v>1598</v>
      </c>
      <c r="Y58" s="64" t="s">
        <v>1599</v>
      </c>
      <c r="Z58" s="64" t="s">
        <v>1600</v>
      </c>
      <c r="AA58" s="74" t="str">
        <f t="shared" si="0"/>
        <v>202003</v>
      </c>
      <c r="AB58" s="74"/>
    </row>
    <row r="59" spans="1:64" ht="32.1" customHeight="1">
      <c r="A59" s="131"/>
      <c r="B59" s="96" t="str">
        <f>VLOOKUP("lfm",Sprachindex!A:Z,Info!$O$6,FALSE)</f>
        <v>lfm</v>
      </c>
      <c r="C59" s="95"/>
      <c r="D59" s="95">
        <f>IF($N$18=2,AA59,IF($N$18=3,AJ59,IF($N$18=4,AS59,IF($N$18=5,BB59,0))))</f>
        <v>0</v>
      </c>
      <c r="E59" s="250" t="str">
        <f>VLOOKUP("Ablaufrohr mit Schutzfolie",Sprachindex!A:Z,Info!$O$6,FALSE)</f>
        <v>Ablaufrohr mit Schutzfolie</v>
      </c>
      <c r="F59" s="251"/>
      <c r="G59" s="251"/>
      <c r="H59" s="251"/>
      <c r="I59" s="251"/>
      <c r="J59" s="307" t="str">
        <f>Formeln_RI_P.10!A222</f>
        <v/>
      </c>
      <c r="K59" s="308"/>
      <c r="L59" s="96" t="str">
        <f t="shared" si="4"/>
        <v xml:space="preserve"> </v>
      </c>
      <c r="M59" s="130"/>
      <c r="N59" s="87"/>
      <c r="O59" s="1"/>
      <c r="P59" s="191" t="e">
        <f>ROUNDUP($A59/R59,0)*R59 &amp; "  " &amp; Formeln_RI_P.10!$A$112 &amp; "                     " &amp; " (" &amp; ROUNDUP($A59/$R59,0)*$R59/$S59 &amp; " " &amp; Formeln_RI_P.10!$A$111 &amp; ")"</f>
        <v>#VALUE!</v>
      </c>
      <c r="Q59" s="191" t="str">
        <f>ROUNDUP($A59/S59,0)*S59 &amp; "  " &amp; Formeln_RI_P.10!$A$112 &amp; "                     " &amp; " (" &amp; ROUNDUP($A59/$S59,0)*$S59/$S59  &amp; " " &amp; Formeln_RI_P.10!$A$111 &amp; ")"</f>
        <v>0  lfm                      (0 STK)</v>
      </c>
      <c r="R59" s="191" t="str">
        <f>IF($N$18=2,60,IF($N$18=3,39,IF($N$18=4,24,"")))</f>
        <v/>
      </c>
      <c r="S59" s="191">
        <v>3</v>
      </c>
      <c r="T59" s="64" t="s">
        <v>1601</v>
      </c>
      <c r="U59" s="64" t="s">
        <v>1602</v>
      </c>
      <c r="V59" s="64" t="s">
        <v>1603</v>
      </c>
      <c r="W59" s="64" t="s">
        <v>1604</v>
      </c>
      <c r="X59" s="64" t="s">
        <v>1605</v>
      </c>
      <c r="Y59" s="64" t="s">
        <v>1606</v>
      </c>
      <c r="Z59" s="64" t="s">
        <v>1607</v>
      </c>
      <c r="AA59" s="74" t="str">
        <f t="shared" si="0"/>
        <v>220023</v>
      </c>
      <c r="AB59" s="74">
        <v>80</v>
      </c>
      <c r="AC59" s="64" t="s">
        <v>1608</v>
      </c>
      <c r="AD59" s="64" t="s">
        <v>1609</v>
      </c>
      <c r="AE59" s="64" t="s">
        <v>1610</v>
      </c>
      <c r="AF59" s="64" t="s">
        <v>1611</v>
      </c>
      <c r="AG59" s="64" t="s">
        <v>1612</v>
      </c>
      <c r="AH59" s="64" t="s">
        <v>1613</v>
      </c>
      <c r="AI59" s="64" t="s">
        <v>1614</v>
      </c>
      <c r="AJ59" s="74" t="str">
        <f>IF($N$16=1,AC59,IF($N$16=2,AD59,IF($N$16=3,AE59,IF($N$16=4,AF59,IF($N$16=5,AG59,IF($N$16=6,AH59,IF($N$16=7,AI59,0)))))))</f>
        <v>220043</v>
      </c>
      <c r="AK59" s="74">
        <v>100</v>
      </c>
      <c r="AL59" s="64" t="s">
        <v>1615</v>
      </c>
      <c r="AM59" s="64" t="s">
        <v>1616</v>
      </c>
      <c r="AN59" s="64" t="s">
        <v>1617</v>
      </c>
      <c r="AO59" s="64" t="s">
        <v>1618</v>
      </c>
      <c r="AP59" s="64" t="s">
        <v>1619</v>
      </c>
      <c r="AQ59" s="64" t="s">
        <v>1620</v>
      </c>
      <c r="AR59" s="64" t="s">
        <v>1621</v>
      </c>
      <c r="AS59" s="74" t="str">
        <f t="shared" ref="AS59" si="16">IF($N$16=1,AL59,IF($N$16=2,AM59,IF($N$16=3,AN59,IF($N$16=4,AO59,IF($N$16=5,AP59,IF($N$16=6,AQ59,IF($N$16=7,AR59,0)))))))</f>
        <v>220063</v>
      </c>
      <c r="AT59" s="74">
        <v>120</v>
      </c>
      <c r="AU59" s="64"/>
      <c r="AV59" s="64"/>
      <c r="AW59" s="64"/>
      <c r="AX59" s="64"/>
      <c r="AY59" s="64"/>
      <c r="AZ59" s="64"/>
      <c r="BA59" s="64"/>
      <c r="BB59" s="64"/>
      <c r="BC59" s="64"/>
    </row>
    <row r="60" spans="1:64" ht="32.1" customHeight="1">
      <c r="A60" s="227"/>
      <c r="B60" s="96" t="str">
        <f>VLOOKUP("lfm",Sprachindex!A:Z,Info!$O$6,FALSE)</f>
        <v>lfm</v>
      </c>
      <c r="C60" s="95"/>
      <c r="D60" s="95">
        <f>IF(N18=1,AA60,0)</f>
        <v>0</v>
      </c>
      <c r="E60" s="250" t="str">
        <f>VLOOKUP("Ablaufrohr, 60",Sprachindex!A:Z,Info!$O$6,FALSE)</f>
        <v>Ablaufrohr, 60</v>
      </c>
      <c r="F60" s="251"/>
      <c r="G60" s="251"/>
      <c r="H60" s="251"/>
      <c r="I60" s="251"/>
      <c r="J60" s="307" t="str">
        <f>Formeln_RI_P.10!A240</f>
        <v>60 ⌀ × 3.000 mm</v>
      </c>
      <c r="K60" s="308"/>
      <c r="L60" s="96" t="str">
        <f t="shared" si="4"/>
        <v xml:space="preserve"> </v>
      </c>
      <c r="M60" s="130"/>
      <c r="N60" s="87"/>
      <c r="O60" s="1"/>
      <c r="P60" s="191" t="e">
        <f>ROUNDUP($A60/R60,0)*R60 &amp; "  " &amp; Formeln_RI_P.10!$A$112 &amp; "                     " &amp; " (" &amp; ROUNDUP($A60/$R60,0)*$R60/$S60 &amp; " " &amp; Formeln_RI_P.10!$A$111 &amp; ")"</f>
        <v>#VALUE!</v>
      </c>
      <c r="Q60" s="191" t="str">
        <f>ROUNDUP($A60/S60,0)*S60 &amp; "  " &amp; Formeln_RI_P.10!$A$112 &amp; "                     " &amp; " (" &amp; ROUNDUP($A60/$S60,0)*$S60/$S60  &amp; " " &amp; Formeln_RI_P.10!$A$111 &amp; ")"</f>
        <v>0  lfm                      (0 STK)</v>
      </c>
      <c r="R60" s="191" t="str">
        <f>IF($N$18=1,3,"")</f>
        <v/>
      </c>
      <c r="S60" s="191">
        <v>3</v>
      </c>
      <c r="T60" s="64" t="s">
        <v>1622</v>
      </c>
      <c r="U60" s="64" t="s">
        <v>1623</v>
      </c>
      <c r="V60" s="64" t="s">
        <v>1624</v>
      </c>
      <c r="W60" s="64" t="s">
        <v>1625</v>
      </c>
      <c r="X60" s="64" t="s">
        <v>1626</v>
      </c>
      <c r="Y60" s="64" t="s">
        <v>1627</v>
      </c>
      <c r="Z60" s="64" t="s">
        <v>1628</v>
      </c>
      <c r="AA60" s="74" t="str">
        <f t="shared" si="0"/>
        <v>220003</v>
      </c>
      <c r="AB60" s="74">
        <v>60</v>
      </c>
    </row>
    <row r="61" spans="1:64" ht="32.1" customHeight="1">
      <c r="A61" s="227"/>
      <c r="B61" s="96" t="str">
        <f>VLOOKUP("STK",Sprachindex!A:Z,Info!$O$6,FALSE)</f>
        <v>STK</v>
      </c>
      <c r="C61" s="95"/>
      <c r="D61" s="95">
        <f>IF($N$18=3,AA61,0)</f>
        <v>0</v>
      </c>
      <c r="E61" s="250" t="str">
        <f>VLOOKUP("Ablaufrohr 100, 1,6 mm, inkl. Muffe",Sprachindex!A:Z,Info!$O$6,FALSE)</f>
        <v>Ablaufrohr 100, 1,6 mm, inkl. Muffe</v>
      </c>
      <c r="F61" s="251"/>
      <c r="G61" s="251"/>
      <c r="H61" s="251"/>
      <c r="I61" s="251"/>
      <c r="J61" s="307" t="str">
        <f>Formeln_RI_P.10!A243</f>
        <v>100 ⌀ × 1.450 mm</v>
      </c>
      <c r="K61" s="308"/>
      <c r="L61" s="96" t="str">
        <f t="shared" si="4"/>
        <v xml:space="preserve"> </v>
      </c>
      <c r="M61" s="130"/>
      <c r="N61" s="87"/>
      <c r="O61" s="1"/>
      <c r="P61" s="191" t="e">
        <f>ROUNDUP($A61/R61,0)*R61 &amp; "  " &amp; Formeln_RI_P.10!$A$111</f>
        <v>#VALUE!</v>
      </c>
      <c r="Q61" s="191" t="str">
        <f>ROUNDUP($A61/S61,0)*S61 &amp; "  " &amp; Formeln_RI_P.10!$A$111</f>
        <v>0  STK</v>
      </c>
      <c r="R61" s="191" t="str">
        <f>IF($N$18=3,1,"")</f>
        <v/>
      </c>
      <c r="S61" s="191">
        <v>1</v>
      </c>
      <c r="T61" s="64" t="s">
        <v>1629</v>
      </c>
      <c r="U61" s="64" t="s">
        <v>1630</v>
      </c>
      <c r="V61" s="64" t="s">
        <v>1631</v>
      </c>
      <c r="W61" s="64" t="s">
        <v>1632</v>
      </c>
      <c r="X61" s="64" t="s">
        <v>1633</v>
      </c>
      <c r="Y61" s="64" t="s">
        <v>1634</v>
      </c>
      <c r="Z61" s="64" t="s">
        <v>1635</v>
      </c>
      <c r="AA61" s="74" t="str">
        <f t="shared" si="0"/>
        <v>203903</v>
      </c>
      <c r="AB61" s="74"/>
    </row>
    <row r="62" spans="1:64" ht="32.1" customHeight="1">
      <c r="A62" s="131"/>
      <c r="B62" s="96" t="str">
        <f>VLOOKUP("STK",Sprachindex!A:Z,Info!$O$6,FALSE)</f>
        <v>STK</v>
      </c>
      <c r="C62" s="95"/>
      <c r="D62" s="95">
        <f>IF($N$18=1,AA62,IF($N$18=2,AJ62,IF($N$18=3,AS62,IF($N$18=4,BB62,0))))</f>
        <v>0</v>
      </c>
      <c r="E62" s="250" t="str">
        <f>VLOOKUP("Rohrschelle für Ablaufrohr",Sprachindex!A:Z,Info!$O$6,FALSE)</f>
        <v>Rohrschelle für Ablaufrohr</v>
      </c>
      <c r="F62" s="251"/>
      <c r="G62" s="251"/>
      <c r="H62" s="251"/>
      <c r="I62" s="251"/>
      <c r="J62" s="307" t="str">
        <f>Formeln_RI_P.10!A225</f>
        <v/>
      </c>
      <c r="K62" s="308"/>
      <c r="L62" s="96" t="str">
        <f t="shared" si="4"/>
        <v xml:space="preserve"> </v>
      </c>
      <c r="M62" s="130"/>
      <c r="N62" s="87"/>
      <c r="O62" s="1"/>
      <c r="P62" s="191" t="e">
        <f>ROUNDUP($A62/R62,0)*R62 &amp; "  " &amp; Formeln_RI_P.10!$A$111</f>
        <v>#VALUE!</v>
      </c>
      <c r="Q62" s="191" t="str">
        <f>ROUNDUP($A62/S62,0)*S62 &amp; "  " &amp; Formeln_RI_P.10!$A$111</f>
        <v>0  STK</v>
      </c>
      <c r="R62" s="191" t="str">
        <f>IF($N$18=1,6,IF($N$18=2,25,IF($N$18=3,25,IF($N$18=4,25,""))))</f>
        <v/>
      </c>
      <c r="S62" s="191">
        <v>1</v>
      </c>
      <c r="T62" s="64" t="s">
        <v>1636</v>
      </c>
      <c r="U62" s="64" t="s">
        <v>1637</v>
      </c>
      <c r="V62" s="64" t="s">
        <v>1638</v>
      </c>
      <c r="W62" s="64" t="s">
        <v>1639</v>
      </c>
      <c r="X62" s="64" t="s">
        <v>1640</v>
      </c>
      <c r="Y62" s="64" t="s">
        <v>1641</v>
      </c>
      <c r="Z62" s="64" t="s">
        <v>1642</v>
      </c>
      <c r="AA62" s="74" t="str">
        <f t="shared" si="0"/>
        <v>202803</v>
      </c>
      <c r="AB62" s="74">
        <v>60</v>
      </c>
      <c r="AC62" s="64" t="s">
        <v>1643</v>
      </c>
      <c r="AD62" s="64" t="s">
        <v>1644</v>
      </c>
      <c r="AE62" s="64" t="s">
        <v>1645</v>
      </c>
      <c r="AF62" s="64" t="s">
        <v>1646</v>
      </c>
      <c r="AG62" s="64" t="s">
        <v>1647</v>
      </c>
      <c r="AH62" s="64" t="s">
        <v>1648</v>
      </c>
      <c r="AI62" s="64" t="s">
        <v>1649</v>
      </c>
      <c r="AJ62" s="74" t="str">
        <f>IF($N$16=1,AC62,IF($N$16=2,AD62,IF($N$16=3,AE62,IF($N$16=4,AF62,IF($N$16=5,AG62,IF($N$16=6,AH62,IF($N$16=7,AI62,0)))))))</f>
        <v>202823</v>
      </c>
      <c r="AK62" s="74">
        <v>80</v>
      </c>
      <c r="AL62" s="64" t="s">
        <v>1650</v>
      </c>
      <c r="AM62" s="64" t="s">
        <v>1651</v>
      </c>
      <c r="AN62" s="64" t="s">
        <v>1652</v>
      </c>
      <c r="AO62" s="64" t="s">
        <v>1653</v>
      </c>
      <c r="AP62" s="64" t="s">
        <v>1654</v>
      </c>
      <c r="AQ62" s="64" t="s">
        <v>1655</v>
      </c>
      <c r="AR62" s="64" t="s">
        <v>1656</v>
      </c>
      <c r="AS62" s="74" t="str">
        <f t="shared" ref="AS62" si="17">IF($N$16=1,AL62,IF($N$16=2,AM62,IF($N$16=3,AN62,IF($N$16=4,AO62,IF($N$16=5,AP62,IF($N$16=6,AQ62,IF($N$16=7,AR62,0)))))))</f>
        <v>202843</v>
      </c>
      <c r="AT62" s="74">
        <v>100</v>
      </c>
      <c r="AU62" s="64" t="s">
        <v>1657</v>
      </c>
      <c r="AV62" s="64" t="s">
        <v>1658</v>
      </c>
      <c r="AW62" s="64" t="s">
        <v>1659</v>
      </c>
      <c r="AX62" s="64" t="s">
        <v>1660</v>
      </c>
      <c r="AY62" s="64" t="s">
        <v>1661</v>
      </c>
      <c r="AZ62" s="64" t="s">
        <v>1662</v>
      </c>
      <c r="BA62" s="64" t="s">
        <v>1663</v>
      </c>
      <c r="BB62" s="74" t="str">
        <f t="shared" ref="BB62" si="18">IF($N$16=1,AU62,IF($N$16=2,AV62,IF($N$16=3,AW62,IF($N$16=4,AX62,IF($N$16=5,AY62,IF($N$16=6,AZ62,IF($N$16=7,BA62,0)))))))</f>
        <v>202863</v>
      </c>
      <c r="BC62" s="74">
        <v>120</v>
      </c>
    </row>
    <row r="63" spans="1:64" ht="32.1" hidden="1" customHeight="1">
      <c r="A63" s="131"/>
      <c r="B63" s="96" t="str">
        <f>VLOOKUP("STK",Sprachindex!A:Z,Info!$O$6,FALSE)</f>
        <v>STK</v>
      </c>
      <c r="C63" s="95"/>
      <c r="D63" s="95">
        <f>IF(J63=Formeln_RI_P.10!A277,345020,IF(J63=Formeln_RI_P.10!A278,345022,0))</f>
        <v>0</v>
      </c>
      <c r="E63" s="250" t="str">
        <f>VLOOKUP("Rohrschellendorn",Sprachindex!A:Z,Info!$O$6,FALSE)</f>
        <v>Rohrschellendorn</v>
      </c>
      <c r="F63" s="251"/>
      <c r="G63" s="251"/>
      <c r="H63" s="251"/>
      <c r="I63" s="101" t="str">
        <f>VLOOKUP("Länge wählen:",Sprachindex!A:Z,Info!$O$6,FALSE)</f>
        <v>Länge wählen:</v>
      </c>
      <c r="J63" s="301"/>
      <c r="K63" s="309"/>
      <c r="L63" s="96" t="str">
        <f t="shared" si="4"/>
        <v xml:space="preserve"> </v>
      </c>
      <c r="M63" s="130"/>
      <c r="N63" s="87"/>
      <c r="O63" s="1"/>
      <c r="P63" s="191" t="e">
        <f>ROUNDUP($A63/R63,0)*R63 &amp; "  " &amp; Formeln_RI_P.10!$A$111</f>
        <v>#VALUE!</v>
      </c>
      <c r="Q63" s="191" t="str">
        <f>ROUNDUP($A63/S63,0)*S63 &amp; "  " &amp; Formeln_RI_P.10!$A$111</f>
        <v>0  STK</v>
      </c>
      <c r="R63" s="191" t="str">
        <f>IF(J63=Formeln_RI_P.10!$A$276,"",25)</f>
        <v/>
      </c>
      <c r="S63" s="191">
        <v>1</v>
      </c>
    </row>
    <row r="64" spans="1:64" ht="32.1" customHeight="1">
      <c r="A64" s="131"/>
      <c r="B64" s="96" t="str">
        <f>VLOOKUP("STK",Sprachindex!A:Z,Info!$O$6,FALSE)</f>
        <v>STK</v>
      </c>
      <c r="C64" s="95"/>
      <c r="D64" s="95">
        <f>IF(J64=Formeln_RI_P.10!A145,345030,IF(J64=Formeln_RI_P.10!A146,345031,IF(J64=Formeln_RI_P.10!A147,345032,0)))</f>
        <v>0</v>
      </c>
      <c r="E64" s="250" t="str">
        <f>VLOOKUP("Rohrschellendorn, für Dübel ",Sprachindex!A:Z,Info!$O$6,FALSE)</f>
        <v xml:space="preserve">Rohrschellendorn, für Dübel </v>
      </c>
      <c r="F64" s="251"/>
      <c r="G64" s="251"/>
      <c r="H64" s="251"/>
      <c r="I64" s="101" t="str">
        <f>VLOOKUP("Länge wählen:",Sprachindex!A:Z,Info!$O$6,FALSE)</f>
        <v>Länge wählen:</v>
      </c>
      <c r="J64" s="301"/>
      <c r="K64" s="309"/>
      <c r="L64" s="96" t="str">
        <f t="shared" si="4"/>
        <v xml:space="preserve"> </v>
      </c>
      <c r="M64" s="130"/>
      <c r="N64" s="87"/>
      <c r="O64" s="1"/>
      <c r="P64" s="191" t="e">
        <f>ROUNDUP($A64/R64,0)*R64 &amp; "  " &amp; Formeln_RI_P.10!$A$111</f>
        <v>#VALUE!</v>
      </c>
      <c r="Q64" s="191" t="str">
        <f>ROUNDUP($A64/S64,0)*S64 &amp; "  " &amp; Formeln_RI_P.10!$A$111</f>
        <v>0  STK</v>
      </c>
      <c r="R64" s="191" t="str">
        <f>IF(J64=Formeln_RI_P.10!$A$144,"",25)</f>
        <v/>
      </c>
      <c r="S64" s="191">
        <v>1</v>
      </c>
    </row>
    <row r="65" spans="1:100" ht="32.1" customHeight="1">
      <c r="A65" s="131"/>
      <c r="B65" s="96" t="str">
        <f>VLOOKUP("STK",Sprachindex!A:Z,Info!$O$6,FALSE)</f>
        <v>STK</v>
      </c>
      <c r="C65" s="95"/>
      <c r="D65" s="95">
        <f>IF(J65=Formeln_RI_P.10!A273,345040,IF(J65=Formeln_RI_P.10!A274,345041,IF(J65=Formeln_RI_P.10!A275,345042,0)))</f>
        <v>0</v>
      </c>
      <c r="E65" s="250" t="str">
        <f>VLOOKUP("WDVS-Rohrschellendübel Ø 10",Sprachindex!A:Z,Info!$O$6,FALSE)</f>
        <v>WDVS-Rohrschellendübel Ø 10</v>
      </c>
      <c r="F65" s="251"/>
      <c r="G65" s="251"/>
      <c r="H65" s="251"/>
      <c r="I65" s="101" t="str">
        <f>VLOOKUP("Länge wählen:",Sprachindex!A:Z,Info!$O$6,FALSE)</f>
        <v>Länge wählen:</v>
      </c>
      <c r="J65" s="301"/>
      <c r="K65" s="309"/>
      <c r="L65" s="96" t="str">
        <f t="shared" si="4"/>
        <v xml:space="preserve"> </v>
      </c>
      <c r="M65" s="130"/>
      <c r="N65" s="87"/>
      <c r="O65" s="1"/>
      <c r="P65" s="191" t="e">
        <f>ROUNDUP($A65/R65,0)*R65 &amp; "  " &amp; Formeln_RI_P.10!$A$111</f>
        <v>#VALUE!</v>
      </c>
      <c r="Q65" s="191" t="str">
        <f>ROUNDUP($A65/S65,0)*S65 &amp; "  " &amp; Formeln_RI_P.10!$A$111</f>
        <v>0  STK</v>
      </c>
      <c r="R65" s="191" t="str">
        <f>IF(J65=Formeln_RI_P.10!$A$272,"",25)</f>
        <v/>
      </c>
      <c r="S65" s="191">
        <v>1</v>
      </c>
    </row>
    <row r="66" spans="1:100" ht="32.1" customHeight="1">
      <c r="A66" s="131"/>
      <c r="B66" s="96" t="str">
        <f>VLOOKUP("STK",Sprachindex!A:Z,Info!$O$6,FALSE)</f>
        <v>STK</v>
      </c>
      <c r="C66" s="95"/>
      <c r="D66" s="95">
        <v>345015</v>
      </c>
      <c r="E66" s="250" t="str">
        <f>VLOOKUP("M10 Gewindedorn",Sprachindex!A:Z,Info!$O$6,FALSE)</f>
        <v>M10 Gewindedorn</v>
      </c>
      <c r="F66" s="251"/>
      <c r="G66" s="251"/>
      <c r="H66" s="251"/>
      <c r="I66" s="251"/>
      <c r="J66" s="307" t="str">
        <f>VLOOKUP("195 mm lang",Sprachindex!A:Z,Info!$O$6,FALSE)</f>
        <v>195 mm lang</v>
      </c>
      <c r="K66" s="308"/>
      <c r="L66" s="96" t="str">
        <f t="shared" si="4"/>
        <v xml:space="preserve"> </v>
      </c>
      <c r="M66" s="130"/>
      <c r="N66" s="87"/>
      <c r="O66" s="1"/>
      <c r="P66" s="191" t="str">
        <f>ROUNDUP($A66/R66,0)*R66 &amp; "  " &amp; Formeln_RI_P.10!$A$111</f>
        <v>0  STK</v>
      </c>
      <c r="Q66" s="191" t="str">
        <f>ROUNDUP($A66/S66,0)*S66 &amp; "  " &amp; Formeln_RI_P.10!$A$111</f>
        <v>0  STK</v>
      </c>
      <c r="R66" s="191">
        <v>100</v>
      </c>
      <c r="S66" s="191">
        <v>1</v>
      </c>
    </row>
    <row r="67" spans="1:100" ht="32.1" customHeight="1">
      <c r="A67" s="131"/>
      <c r="B67" s="96" t="str">
        <f>VLOOKUP("STK",Sprachindex!A:Z,Info!$O$6,FALSE)</f>
        <v>STK</v>
      </c>
      <c r="C67" s="95"/>
      <c r="D67" s="95">
        <f>IF(J67=Formeln_RI_P.10!A152,420305,IF(J67=Formeln_RI_P.10!A153,420306,0))</f>
        <v>0</v>
      </c>
      <c r="E67" s="250" t="str">
        <f>VLOOKUP("Rohrschellenhalter, f.WDVS ",Sprachindex!A:Z,Info!$O$6,FALSE)</f>
        <v xml:space="preserve">Rohrschellenhalter, f.WDVS </v>
      </c>
      <c r="F67" s="251"/>
      <c r="G67" s="251"/>
      <c r="H67" s="251"/>
      <c r="I67" s="101" t="str">
        <f>VLOOKUP("Länge wählen:",Sprachindex!A:Z,Info!$O$6,FALSE)</f>
        <v>Länge wählen:</v>
      </c>
      <c r="J67" s="301"/>
      <c r="K67" s="309"/>
      <c r="L67" s="96" t="str">
        <f t="shared" si="4"/>
        <v xml:space="preserve"> </v>
      </c>
      <c r="M67" s="130"/>
      <c r="N67" s="87"/>
      <c r="O67" s="1"/>
      <c r="P67" s="191" t="e">
        <f>ROUNDUP($A67/R67,0)*R67 &amp; "  " &amp; Formeln_RI_P.10!$A$111</f>
        <v>#VALUE!</v>
      </c>
      <c r="Q67" s="191" t="str">
        <f>ROUNDUP($A67/S67,0)*S67 &amp; "  " &amp; Formeln_RI_P.10!$A$111</f>
        <v>0  STK</v>
      </c>
      <c r="R67" s="191" t="str">
        <f>IF(J67=Formeln_RI_P.10!$A$151,"",4)</f>
        <v/>
      </c>
      <c r="S67" s="191">
        <v>1</v>
      </c>
      <c r="T67" s="206" t="s">
        <v>74</v>
      </c>
      <c r="U67" s="49" t="s">
        <v>1078</v>
      </c>
      <c r="V67" s="49" t="s">
        <v>76</v>
      </c>
      <c r="W67" s="49" t="s">
        <v>79</v>
      </c>
      <c r="X67" s="49" t="s">
        <v>84</v>
      </c>
      <c r="Y67" s="49" t="s">
        <v>81</v>
      </c>
      <c r="Z67" s="49" t="s">
        <v>1079</v>
      </c>
      <c r="AA67" s="49"/>
      <c r="AB67" s="74"/>
      <c r="AC67" s="206" t="s">
        <v>74</v>
      </c>
      <c r="AD67" s="49" t="s">
        <v>1078</v>
      </c>
      <c r="AE67" s="49" t="s">
        <v>76</v>
      </c>
      <c r="AF67" s="49" t="s">
        <v>79</v>
      </c>
      <c r="AG67" s="49" t="s">
        <v>84</v>
      </c>
      <c r="AH67" s="49" t="s">
        <v>81</v>
      </c>
      <c r="AI67" s="49" t="s">
        <v>1079</v>
      </c>
      <c r="AJ67" s="49"/>
      <c r="AK67" s="74"/>
      <c r="AL67" s="206" t="s">
        <v>74</v>
      </c>
      <c r="AM67" s="49" t="s">
        <v>1078</v>
      </c>
      <c r="AN67" s="49" t="s">
        <v>76</v>
      </c>
      <c r="AO67" s="49" t="s">
        <v>79</v>
      </c>
      <c r="AP67" s="49" t="s">
        <v>84</v>
      </c>
      <c r="AQ67" s="49" t="s">
        <v>81</v>
      </c>
      <c r="AR67" s="49" t="s">
        <v>1079</v>
      </c>
      <c r="AS67" s="49"/>
      <c r="AT67" s="74"/>
      <c r="AU67" s="206" t="s">
        <v>74</v>
      </c>
      <c r="AV67" s="49" t="s">
        <v>1078</v>
      </c>
      <c r="AW67" s="49" t="s">
        <v>76</v>
      </c>
      <c r="AX67" s="49" t="s">
        <v>79</v>
      </c>
      <c r="AY67" s="49" t="s">
        <v>84</v>
      </c>
      <c r="AZ67" s="49" t="s">
        <v>81</v>
      </c>
      <c r="BA67" s="49" t="s">
        <v>1079</v>
      </c>
      <c r="BB67" s="49"/>
      <c r="BC67" s="74"/>
      <c r="BD67" s="206" t="s">
        <v>74</v>
      </c>
      <c r="BE67" s="49" t="s">
        <v>1078</v>
      </c>
      <c r="BF67" s="49" t="s">
        <v>76</v>
      </c>
      <c r="BG67" s="49" t="s">
        <v>79</v>
      </c>
      <c r="BH67" s="49" t="s">
        <v>84</v>
      </c>
      <c r="BI67" s="49" t="s">
        <v>81</v>
      </c>
      <c r="BJ67" s="49" t="s">
        <v>1079</v>
      </c>
      <c r="BK67" s="49"/>
      <c r="BL67" s="74"/>
      <c r="BM67" s="206" t="s">
        <v>74</v>
      </c>
      <c r="BN67" s="49" t="s">
        <v>1078</v>
      </c>
      <c r="BO67" s="49" t="s">
        <v>76</v>
      </c>
      <c r="BP67" s="49" t="s">
        <v>79</v>
      </c>
      <c r="BQ67" s="49" t="s">
        <v>84</v>
      </c>
      <c r="BR67" s="49" t="s">
        <v>81</v>
      </c>
      <c r="BS67" s="49" t="s">
        <v>1079</v>
      </c>
      <c r="BT67" s="49"/>
      <c r="BU67" s="74"/>
      <c r="BV67" s="206" t="s">
        <v>74</v>
      </c>
      <c r="BW67" s="49" t="s">
        <v>1078</v>
      </c>
      <c r="BX67" s="49" t="s">
        <v>76</v>
      </c>
      <c r="BY67" s="49" t="s">
        <v>79</v>
      </c>
      <c r="BZ67" s="49" t="s">
        <v>84</v>
      </c>
      <c r="CA67" s="49" t="s">
        <v>81</v>
      </c>
      <c r="CB67" s="49" t="s">
        <v>1079</v>
      </c>
      <c r="CC67" s="49"/>
      <c r="CD67" s="74"/>
      <c r="CE67" s="206" t="s">
        <v>74</v>
      </c>
      <c r="CF67" s="49" t="s">
        <v>1078</v>
      </c>
      <c r="CG67" s="49" t="s">
        <v>76</v>
      </c>
      <c r="CH67" s="49" t="s">
        <v>79</v>
      </c>
      <c r="CI67" s="49" t="s">
        <v>84</v>
      </c>
      <c r="CJ67" s="49" t="s">
        <v>81</v>
      </c>
      <c r="CK67" s="49" t="s">
        <v>1079</v>
      </c>
      <c r="CL67" s="49"/>
      <c r="CM67" s="74"/>
      <c r="CN67" s="206" t="s">
        <v>74</v>
      </c>
      <c r="CO67" s="49" t="s">
        <v>1078</v>
      </c>
      <c r="CP67" s="49" t="s">
        <v>76</v>
      </c>
      <c r="CQ67" s="49" t="s">
        <v>79</v>
      </c>
      <c r="CR67" s="49" t="s">
        <v>84</v>
      </c>
      <c r="CS67" s="49" t="s">
        <v>81</v>
      </c>
      <c r="CT67" s="49" t="s">
        <v>1079</v>
      </c>
      <c r="CU67" s="49"/>
      <c r="CV67" s="74"/>
    </row>
    <row r="68" spans="1:100" ht="32.1" customHeight="1">
      <c r="A68" s="131"/>
      <c r="B68" s="96" t="str">
        <f>VLOOKUP("STK",Sprachindex!A:Z,Info!$O$6,FALSE)</f>
        <v>STK</v>
      </c>
      <c r="C68" s="95"/>
      <c r="D68" s="95" t="str">
        <f>AA68</f>
        <v>202903</v>
      </c>
      <c r="E68" s="250" t="str">
        <f>VLOOKUP("Wandmontageplatte",Sprachindex!A:Z,Info!$O$6,FALSE)</f>
        <v>Wandmontageplatte</v>
      </c>
      <c r="F68" s="251"/>
      <c r="G68" s="251"/>
      <c r="H68" s="251"/>
      <c r="I68" s="251"/>
      <c r="J68" s="307"/>
      <c r="K68" s="308"/>
      <c r="L68" s="96" t="str">
        <f t="shared" si="4"/>
        <v xml:space="preserve"> </v>
      </c>
      <c r="M68" s="130"/>
      <c r="N68" s="87"/>
      <c r="O68" s="1"/>
      <c r="P68" s="191" t="str">
        <f>ROUNDUP($A68/R68,0)*R68 &amp; "  " &amp; Formeln_RI_P.10!$A$111</f>
        <v>0  STK</v>
      </c>
      <c r="Q68" s="191" t="str">
        <f>ROUNDUP($A68/S68,0)*S68 &amp; "  " &amp; Formeln_RI_P.10!$A$111</f>
        <v>0  STK</v>
      </c>
      <c r="R68" s="191">
        <v>10</v>
      </c>
      <c r="S68" s="191">
        <v>1</v>
      </c>
      <c r="T68" s="64" t="s">
        <v>1664</v>
      </c>
      <c r="U68" s="64" t="s">
        <v>1665</v>
      </c>
      <c r="V68" s="64" t="s">
        <v>1666</v>
      </c>
      <c r="W68" s="64" t="s">
        <v>1667</v>
      </c>
      <c r="X68" s="64" t="s">
        <v>1668</v>
      </c>
      <c r="Y68" s="64" t="s">
        <v>1669</v>
      </c>
      <c r="Z68" s="64" t="s">
        <v>1670</v>
      </c>
      <c r="AA68" s="74" t="str">
        <f t="shared" ref="AA68" si="19">IF($N$16=1,T68,IF($N$16=2,U68,IF($N$16=3,V68,IF($N$16=4,W68,IF($N$16=5,X68,IF($N$16=6,Y68,IF($N$16=7,Z68,0)))))))</f>
        <v>202903</v>
      </c>
      <c r="AB68" s="74"/>
    </row>
    <row r="69" spans="1:100" ht="32.1" customHeight="1">
      <c r="A69" s="131"/>
      <c r="B69" s="96" t="str">
        <f>VLOOKUP("STK",Sprachindex!A:Z,Info!$O$6,FALSE)</f>
        <v>STK</v>
      </c>
      <c r="C69" s="95"/>
      <c r="D69" s="95">
        <v>529502</v>
      </c>
      <c r="E69" s="250" t="str">
        <f>VLOOKUP("Abdeckkappe für Rohrschellendorn",Sprachindex!A:Z,Info!$O$6,FALSE)</f>
        <v>Abdeckkappe für Rohrschellendorn</v>
      </c>
      <c r="F69" s="251"/>
      <c r="G69" s="251"/>
      <c r="H69" s="251"/>
      <c r="I69" s="251"/>
      <c r="J69" s="307"/>
      <c r="K69" s="308"/>
      <c r="L69" s="96" t="str">
        <f t="shared" si="4"/>
        <v xml:space="preserve"> </v>
      </c>
      <c r="M69" s="130"/>
      <c r="N69" s="87"/>
      <c r="O69" s="1"/>
      <c r="P69" s="191" t="str">
        <f>ROUNDUP($A69/R69,0)*R69 &amp; "  " &amp; Formeln_RI_P.10!$A$111</f>
        <v>0  STK</v>
      </c>
      <c r="Q69" s="191" t="str">
        <f>ROUNDUP($A69/S69,0)*S69 &amp; "  " &amp; Formeln_RI_P.10!$A$111</f>
        <v>0  STK</v>
      </c>
      <c r="R69" s="191">
        <v>25</v>
      </c>
      <c r="S69" s="191">
        <v>1</v>
      </c>
    </row>
    <row r="70" spans="1:100" ht="32.1" customHeight="1">
      <c r="A70" s="131"/>
      <c r="B70" s="96" t="str">
        <f>VLOOKUP("STK",Sprachindex!A:Z,Info!$O$6,FALSE)</f>
        <v>STK</v>
      </c>
      <c r="C70" s="95"/>
      <c r="D70" s="95">
        <v>150052</v>
      </c>
      <c r="E70" s="250" t="str">
        <f>VLOOKUP("Gummidichtung DM100",Sprachindex!A:Z,Info!$O$6,FALSE)</f>
        <v>Gummidichtung DM100</v>
      </c>
      <c r="F70" s="251"/>
      <c r="G70" s="251"/>
      <c r="H70" s="251"/>
      <c r="I70" s="251"/>
      <c r="J70" s="307" t="str">
        <f>Formeln_RI_P.10!F186</f>
        <v>100 ⌀</v>
      </c>
      <c r="K70" s="308"/>
      <c r="L70" s="96" t="str">
        <f t="shared" si="4"/>
        <v xml:space="preserve"> </v>
      </c>
      <c r="M70" s="130"/>
      <c r="N70" s="87"/>
      <c r="O70" s="1"/>
      <c r="P70" s="191" t="str">
        <f>ROUNDUP($A70/R70,0)*R70 &amp; "  " &amp; Formeln_RI_P.10!$A$111</f>
        <v>0  STK</v>
      </c>
      <c r="Q70" s="191" t="str">
        <f>ROUNDUP($A70/S70,0)*S70 &amp; "  " &amp; Formeln_RI_P.10!$A$111</f>
        <v>0  STK</v>
      </c>
      <c r="R70" s="191">
        <v>1</v>
      </c>
      <c r="S70" s="191">
        <v>1</v>
      </c>
    </row>
    <row r="71" spans="1:100" ht="32.1" customHeight="1">
      <c r="A71" s="131"/>
      <c r="B71" s="96" t="str">
        <f>VLOOKUP("STK",Sprachindex!A:Z,Info!$O$6,FALSE)</f>
        <v>STK</v>
      </c>
      <c r="C71" s="95"/>
      <c r="D71" s="95" t="str">
        <f>AA71</f>
        <v>201003</v>
      </c>
      <c r="E71" s="250" t="str">
        <f>VLOOKUP("Stutzen mit Klebeflansch DM 58 mm",Sprachindex!A:Z,Info!$O$6,FALSE)</f>
        <v>Stutzen mit Klebeflansch DM 58 mm</v>
      </c>
      <c r="F71" s="251"/>
      <c r="G71" s="251"/>
      <c r="H71" s="251"/>
      <c r="I71" s="251"/>
      <c r="J71" s="307"/>
      <c r="K71" s="308"/>
      <c r="L71" s="96" t="str">
        <f t="shared" si="4"/>
        <v xml:space="preserve"> </v>
      </c>
      <c r="M71" s="130"/>
      <c r="N71" s="87"/>
      <c r="O71" s="1"/>
      <c r="P71" s="191" t="str">
        <f>ROUNDUP($A71/R71,0)*R71 &amp; "  " &amp; Formeln_RI_P.10!$A$111</f>
        <v>0  STK</v>
      </c>
      <c r="Q71" s="191" t="str">
        <f>ROUNDUP($A71/S71,0)*S71 &amp; "  " &amp; Formeln_RI_P.10!$A$111</f>
        <v>0  STK</v>
      </c>
      <c r="R71" s="191">
        <v>3</v>
      </c>
      <c r="S71" s="191">
        <v>1</v>
      </c>
      <c r="T71" s="64" t="s">
        <v>1671</v>
      </c>
      <c r="U71" s="64" t="s">
        <v>1672</v>
      </c>
      <c r="V71" s="64" t="s">
        <v>1673</v>
      </c>
      <c r="W71" s="64" t="s">
        <v>1674</v>
      </c>
      <c r="X71" s="64" t="s">
        <v>1675</v>
      </c>
      <c r="Y71" s="64" t="s">
        <v>1676</v>
      </c>
      <c r="Z71" s="64" t="s">
        <v>1677</v>
      </c>
      <c r="AA71" s="74" t="str">
        <f t="shared" ref="AA71:AA78" si="20">IF($N$16=1,T71,IF($N$16=2,U71,IF($N$16=3,V71,IF($N$16=4,W71,IF($N$16=5,X71,IF($N$16=6,Y71,IF($N$16=7,Z71,0)))))))</f>
        <v>201003</v>
      </c>
      <c r="AB71" s="74" t="s">
        <v>460</v>
      </c>
    </row>
    <row r="72" spans="1:100" ht="32.1" customHeight="1">
      <c r="A72" s="131"/>
      <c r="B72" s="96" t="str">
        <f>VLOOKUP("STK",Sprachindex!A:Z,Info!$O$6,FALSE)</f>
        <v>STK</v>
      </c>
      <c r="C72" s="95"/>
      <c r="D72" s="95">
        <f>IF($N$18=2,AJ72,IF($N$18=3,AS72,IF($N$18=4,BB72,IF($N$18=5,BK72,IF($N$18=1,AA72,0)))))</f>
        <v>0</v>
      </c>
      <c r="E72" s="250" t="str">
        <f>VLOOKUP("Rohrbogen 72°",Sprachindex!A:Z,Info!$O$6,FALSE)</f>
        <v>Rohrbogen 72°</v>
      </c>
      <c r="F72" s="251"/>
      <c r="G72" s="251"/>
      <c r="H72" s="251"/>
      <c r="I72" s="251"/>
      <c r="J72" s="307" t="str">
        <f>Formeln_RI_P.10!A228</f>
        <v/>
      </c>
      <c r="K72" s="308"/>
      <c r="L72" s="96" t="str">
        <f t="shared" si="4"/>
        <v xml:space="preserve"> </v>
      </c>
      <c r="M72" s="130"/>
      <c r="N72" s="87"/>
      <c r="O72" s="1"/>
      <c r="P72" s="191" t="e">
        <f>ROUNDUP($A72/R72,0)*R72 &amp; "  " &amp; Formeln_RI_P.10!$A$111</f>
        <v>#VALUE!</v>
      </c>
      <c r="Q72" s="191" t="str">
        <f>ROUNDUP($A72/S72,0)*S72 &amp; "  " &amp; Formeln_RI_P.10!$A$111</f>
        <v>0  STK</v>
      </c>
      <c r="R72" s="191" t="str">
        <f>IF($N$18=1,3,IF($N$18=2,8,IF($N$18=3,8,IF($N$18=4,4,""))))</f>
        <v/>
      </c>
      <c r="S72" s="191">
        <v>1</v>
      </c>
      <c r="T72" s="64" t="s">
        <v>1678</v>
      </c>
      <c r="U72" s="64" t="s">
        <v>1679</v>
      </c>
      <c r="V72" s="64" t="s">
        <v>1680</v>
      </c>
      <c r="W72" s="64" t="s">
        <v>1681</v>
      </c>
      <c r="X72" s="64" t="s">
        <v>1682</v>
      </c>
      <c r="Y72" s="64" t="s">
        <v>1683</v>
      </c>
      <c r="Z72" s="64" t="s">
        <v>1684</v>
      </c>
      <c r="AA72" s="74" t="str">
        <f t="shared" si="20"/>
        <v>202403</v>
      </c>
      <c r="AB72" s="74">
        <v>60</v>
      </c>
      <c r="AC72" s="64" t="s">
        <v>1685</v>
      </c>
      <c r="AD72" s="64" t="s">
        <v>1686</v>
      </c>
      <c r="AE72" s="64" t="s">
        <v>1687</v>
      </c>
      <c r="AF72" s="64" t="s">
        <v>1688</v>
      </c>
      <c r="AG72" s="64" t="s">
        <v>1689</v>
      </c>
      <c r="AH72" s="64" t="s">
        <v>1690</v>
      </c>
      <c r="AI72" s="64" t="s">
        <v>1691</v>
      </c>
      <c r="AJ72" s="74" t="str">
        <f t="shared" ref="AJ72:AJ78" si="21">IF($N$16=1,AC72,IF($N$16=2,AD72,IF($N$16=3,AE72,IF($N$16=4,AF72,IF($N$16=5,AG72,IF($N$16=6,AH72,IF($N$16=7,AI72,0)))))))</f>
        <v>202423</v>
      </c>
      <c r="AK72" s="74">
        <v>80</v>
      </c>
      <c r="AL72" s="64" t="s">
        <v>1692</v>
      </c>
      <c r="AM72" s="64" t="s">
        <v>1693</v>
      </c>
      <c r="AN72" s="64" t="s">
        <v>1694</v>
      </c>
      <c r="AO72" s="64" t="s">
        <v>1695</v>
      </c>
      <c r="AP72" s="64" t="s">
        <v>1696</v>
      </c>
      <c r="AQ72" s="64" t="s">
        <v>1697</v>
      </c>
      <c r="AR72" s="64" t="s">
        <v>1698</v>
      </c>
      <c r="AS72" s="74" t="str">
        <f t="shared" ref="AS72:AS75" si="22">IF($N$16=1,AL72,IF($N$16=2,AM72,IF($N$16=3,AN72,IF($N$16=4,AO72,IF($N$16=5,AP72,IF($N$16=6,AQ72,IF($N$16=7,AR72,0)))))))</f>
        <v>202443</v>
      </c>
      <c r="AT72" s="74">
        <v>100</v>
      </c>
      <c r="AU72" s="64" t="s">
        <v>1699</v>
      </c>
      <c r="AV72" s="64" t="s">
        <v>1700</v>
      </c>
      <c r="AW72" s="64" t="s">
        <v>1701</v>
      </c>
      <c r="AX72" s="64" t="s">
        <v>1702</v>
      </c>
      <c r="AY72" s="64" t="s">
        <v>1703</v>
      </c>
      <c r="AZ72" s="64" t="s">
        <v>1704</v>
      </c>
      <c r="BA72" s="64" t="s">
        <v>1705</v>
      </c>
      <c r="BB72" s="74" t="str">
        <f t="shared" ref="BB72:BB74" si="23">IF($N$16=1,AU72,IF($N$16=2,AV72,IF($N$16=3,AW72,IF($N$16=4,AX72,IF($N$16=5,AY72,IF($N$16=6,AZ72,IF($N$16=7,BA72,0)))))))</f>
        <v>202463</v>
      </c>
      <c r="BC72" s="74">
        <v>120</v>
      </c>
      <c r="BD72" s="64"/>
      <c r="BE72" s="64"/>
      <c r="BF72" s="64"/>
      <c r="BG72" s="64"/>
      <c r="BH72" s="64"/>
      <c r="BI72" s="64"/>
      <c r="BJ72" s="64"/>
      <c r="BK72" s="64"/>
      <c r="BL72" s="64"/>
    </row>
    <row r="73" spans="1:100" ht="32.1" customHeight="1">
      <c r="A73" s="131"/>
      <c r="B73" s="96" t="str">
        <f>VLOOKUP("STK",Sprachindex!A:Z,Info!$O$6,FALSE)</f>
        <v>STK</v>
      </c>
      <c r="C73" s="95"/>
      <c r="D73" s="95">
        <f>IF($N$18=2,AJ73,IF($N$18=3,AS73,IF($N$18=4,BB73,IF($N$18=5,BK73,IF($N$18=1,AA73,0)))))</f>
        <v>0</v>
      </c>
      <c r="E73" s="250" t="str">
        <f>VLOOKUP("Rohrbogen 85°",Sprachindex!A:Z,Info!$O$6,FALSE)</f>
        <v>Rohrbogen 85°</v>
      </c>
      <c r="F73" s="251"/>
      <c r="G73" s="251"/>
      <c r="H73" s="251"/>
      <c r="I73" s="251"/>
      <c r="J73" s="307" t="str">
        <f>Formeln_RI_P.10!A268</f>
        <v/>
      </c>
      <c r="K73" s="308"/>
      <c r="L73" s="96" t="str">
        <f t="shared" si="4"/>
        <v xml:space="preserve"> </v>
      </c>
      <c r="M73" s="130"/>
      <c r="N73" s="87"/>
      <c r="O73" s="1"/>
      <c r="P73" s="191" t="e">
        <f>ROUNDUP($A73/R73,0)*R73 &amp; "  " &amp; Formeln_RI_P.10!$A$111</f>
        <v>#VALUE!</v>
      </c>
      <c r="Q73" s="191" t="str">
        <f>ROUNDUP($A73/S73,0)*S73 &amp; "  " &amp; Formeln_RI_P.10!$A$111</f>
        <v>0  STK</v>
      </c>
      <c r="R73" s="191" t="str">
        <f>IF($N$18=1,3,IF($N$18=2,8,IF($N$18=3,6,IF($N$18=4,3,""))))</f>
        <v/>
      </c>
      <c r="S73" s="191">
        <v>1</v>
      </c>
      <c r="T73" s="64" t="s">
        <v>1706</v>
      </c>
      <c r="U73" s="64" t="s">
        <v>1707</v>
      </c>
      <c r="V73" s="64" t="s">
        <v>1708</v>
      </c>
      <c r="W73" s="64" t="s">
        <v>1709</v>
      </c>
      <c r="X73" s="64" t="s">
        <v>1710</v>
      </c>
      <c r="Y73" s="64" t="s">
        <v>1711</v>
      </c>
      <c r="Z73" s="64" t="s">
        <v>1712</v>
      </c>
      <c r="AA73" s="74" t="str">
        <f t="shared" si="20"/>
        <v>202503</v>
      </c>
      <c r="AB73" s="74">
        <v>60</v>
      </c>
      <c r="AC73" s="64" t="s">
        <v>1713</v>
      </c>
      <c r="AD73" s="64" t="s">
        <v>1714</v>
      </c>
      <c r="AE73" s="64" t="s">
        <v>1715</v>
      </c>
      <c r="AF73" s="64" t="s">
        <v>1716</v>
      </c>
      <c r="AG73" s="64" t="s">
        <v>1717</v>
      </c>
      <c r="AH73" s="64" t="s">
        <v>1718</v>
      </c>
      <c r="AI73" s="64" t="s">
        <v>1719</v>
      </c>
      <c r="AJ73" s="74" t="str">
        <f t="shared" si="21"/>
        <v>202523</v>
      </c>
      <c r="AK73" s="74">
        <v>80</v>
      </c>
      <c r="AL73" s="64" t="s">
        <v>1720</v>
      </c>
      <c r="AM73" s="64" t="s">
        <v>1721</v>
      </c>
      <c r="AN73" s="64" t="s">
        <v>1722</v>
      </c>
      <c r="AO73" s="64" t="s">
        <v>1723</v>
      </c>
      <c r="AP73" s="64" t="s">
        <v>1724</v>
      </c>
      <c r="AQ73" s="64" t="s">
        <v>1725</v>
      </c>
      <c r="AR73" s="64" t="s">
        <v>1726</v>
      </c>
      <c r="AS73" s="74" t="str">
        <f t="shared" si="22"/>
        <v>202543</v>
      </c>
      <c r="AT73" s="74">
        <v>100</v>
      </c>
      <c r="AU73" s="64" t="s">
        <v>1727</v>
      </c>
      <c r="AV73" s="64" t="s">
        <v>1728</v>
      </c>
      <c r="AW73" s="64" t="s">
        <v>1729</v>
      </c>
      <c r="AX73" s="64" t="s">
        <v>1730</v>
      </c>
      <c r="AY73" s="64" t="s">
        <v>1731</v>
      </c>
      <c r="AZ73" s="64" t="s">
        <v>1732</v>
      </c>
      <c r="BA73" s="64" t="s">
        <v>1733</v>
      </c>
      <c r="BB73" s="74" t="str">
        <f t="shared" si="23"/>
        <v>202563</v>
      </c>
      <c r="BC73" s="74">
        <v>120</v>
      </c>
    </row>
    <row r="74" spans="1:100" ht="32.1" customHeight="1">
      <c r="A74" s="131"/>
      <c r="B74" s="96" t="str">
        <f>VLOOKUP("STK",Sprachindex!A:Z,Info!$O$6,FALSE)</f>
        <v>STK</v>
      </c>
      <c r="C74" s="95"/>
      <c r="D74" s="95">
        <f>IF($N$18=2,AJ74,IF($N$18=3,AS74,IF($N$18=4,BB74,IF($N$18=5,BK74,IF($N$18=1,AA74,0)))))</f>
        <v>0</v>
      </c>
      <c r="E74" s="250" t="str">
        <f>VLOOKUP("Rohrbogen 40°",Sprachindex!A:Z,Info!$O$6,FALSE)</f>
        <v>Rohrbogen 40°</v>
      </c>
      <c r="F74" s="251"/>
      <c r="G74" s="251"/>
      <c r="H74" s="251"/>
      <c r="I74" s="251"/>
      <c r="J74" s="307" t="str">
        <f>Formeln_RI_P.10!A268</f>
        <v/>
      </c>
      <c r="K74" s="308"/>
      <c r="L74" s="96" t="str">
        <f t="shared" si="4"/>
        <v xml:space="preserve"> </v>
      </c>
      <c r="M74" s="130"/>
      <c r="N74" s="87"/>
      <c r="O74" s="1"/>
      <c r="P74" s="191" t="e">
        <f>ROUNDUP($A74/R74,0)*R74 &amp; "  " &amp; Formeln_RI_P.10!$A$111</f>
        <v>#VALUE!</v>
      </c>
      <c r="Q74" s="191" t="str">
        <f>ROUNDUP($A74/S74,0)*S74 &amp; "  " &amp; Formeln_RI_P.10!$A$111</f>
        <v>0  STK</v>
      </c>
      <c r="R74" s="191" t="str">
        <f>IF($N$18=1,3,IF($N$18=2,12,IF($N$18=3,8,IF($N$18=4,4,""))))</f>
        <v/>
      </c>
      <c r="S74" s="191">
        <v>1</v>
      </c>
      <c r="T74" s="64" t="s">
        <v>1734</v>
      </c>
      <c r="U74" s="64" t="s">
        <v>1735</v>
      </c>
      <c r="V74" s="64" t="s">
        <v>1736</v>
      </c>
      <c r="W74" s="64" t="s">
        <v>1737</v>
      </c>
      <c r="X74" s="64" t="s">
        <v>1738</v>
      </c>
      <c r="Y74" s="64" t="s">
        <v>1739</v>
      </c>
      <c r="Z74" s="64" t="s">
        <v>1740</v>
      </c>
      <c r="AA74" s="74" t="str">
        <f t="shared" si="20"/>
        <v>202303</v>
      </c>
      <c r="AB74" s="74">
        <v>60</v>
      </c>
      <c r="AC74" s="64" t="s">
        <v>1741</v>
      </c>
      <c r="AD74" s="64" t="s">
        <v>1742</v>
      </c>
      <c r="AE74" s="64" t="s">
        <v>1743</v>
      </c>
      <c r="AF74" s="64" t="s">
        <v>1744</v>
      </c>
      <c r="AG74" s="64" t="s">
        <v>1745</v>
      </c>
      <c r="AH74" s="64" t="s">
        <v>1746</v>
      </c>
      <c r="AI74" s="64" t="s">
        <v>1747</v>
      </c>
      <c r="AJ74" s="74" t="str">
        <f t="shared" si="21"/>
        <v>202323</v>
      </c>
      <c r="AK74" s="74">
        <v>80</v>
      </c>
      <c r="AL74" s="64" t="s">
        <v>1748</v>
      </c>
      <c r="AM74" s="64" t="s">
        <v>1749</v>
      </c>
      <c r="AN74" s="64" t="s">
        <v>1750</v>
      </c>
      <c r="AO74" s="64" t="s">
        <v>1751</v>
      </c>
      <c r="AP74" s="64" t="s">
        <v>1752</v>
      </c>
      <c r="AQ74" s="64" t="s">
        <v>1753</v>
      </c>
      <c r="AR74" s="64" t="s">
        <v>1754</v>
      </c>
      <c r="AS74" s="74" t="str">
        <f t="shared" si="22"/>
        <v>202343</v>
      </c>
      <c r="AT74" s="74">
        <v>100</v>
      </c>
      <c r="AU74" s="64" t="s">
        <v>1755</v>
      </c>
      <c r="AV74" s="64" t="s">
        <v>1756</v>
      </c>
      <c r="AW74" s="64" t="s">
        <v>1757</v>
      </c>
      <c r="AX74" s="64" t="s">
        <v>1758</v>
      </c>
      <c r="AY74" s="64" t="s">
        <v>1759</v>
      </c>
      <c r="AZ74" s="64" t="s">
        <v>1760</v>
      </c>
      <c r="BA74" s="64" t="s">
        <v>1761</v>
      </c>
      <c r="BB74" s="74" t="str">
        <f t="shared" si="23"/>
        <v>202363</v>
      </c>
      <c r="BC74" s="74">
        <v>120</v>
      </c>
    </row>
    <row r="75" spans="1:100" ht="32.1" customHeight="1">
      <c r="A75" s="131"/>
      <c r="B75" s="96" t="str">
        <f>VLOOKUP("STK",Sprachindex!A:Z,Info!$O$6,FALSE)</f>
        <v>STK</v>
      </c>
      <c r="C75" s="95"/>
      <c r="D75" s="95">
        <f>IF($N$18=2,AA75,IF($N$18=3,AJ75,IF($N$18=4,AS75,IF($N$18=5,BB75,0))))</f>
        <v>0</v>
      </c>
      <c r="E75" s="250" t="str">
        <f>VLOOKUP("Sockelknie 60 mm Ausladung",Sprachindex!A:Z,Info!$O$6,FALSE)</f>
        <v>Sockelknie 60 mm Ausladung</v>
      </c>
      <c r="F75" s="251"/>
      <c r="G75" s="251"/>
      <c r="H75" s="251"/>
      <c r="I75" s="251"/>
      <c r="J75" s="307" t="str">
        <f>Formeln_RI_P.10!A222</f>
        <v/>
      </c>
      <c r="K75" s="308"/>
      <c r="L75" s="96" t="str">
        <f t="shared" si="4"/>
        <v xml:space="preserve"> </v>
      </c>
      <c r="M75" s="130"/>
      <c r="N75" s="87"/>
      <c r="O75" s="1"/>
      <c r="P75" s="191" t="e">
        <f>ROUNDUP($A75/R75,0)*R75 &amp; "  " &amp; Formeln_RI_P.10!$A$111</f>
        <v>#VALUE!</v>
      </c>
      <c r="Q75" s="191" t="str">
        <f>ROUNDUP($A75/S75,0)*S75 &amp; "  " &amp; Formeln_RI_P.10!$A$111</f>
        <v>0  STK</v>
      </c>
      <c r="R75" s="191" t="str">
        <f>IF($N$18=1,"",IF($N$18=2,8,IF($N$18=3,8,IF($N$18=4,4,""))))</f>
        <v/>
      </c>
      <c r="S75" s="191">
        <v>1</v>
      </c>
      <c r="T75" s="64" t="s">
        <v>1762</v>
      </c>
      <c r="U75" s="64" t="s">
        <v>1763</v>
      </c>
      <c r="V75" s="64" t="s">
        <v>1764</v>
      </c>
      <c r="W75" s="64" t="s">
        <v>1765</v>
      </c>
      <c r="X75" s="64" t="s">
        <v>1766</v>
      </c>
      <c r="Y75" s="64" t="s">
        <v>1767</v>
      </c>
      <c r="Z75" s="64" t="s">
        <v>1768</v>
      </c>
      <c r="AA75" s="74" t="str">
        <f t="shared" si="20"/>
        <v>202623</v>
      </c>
      <c r="AB75" s="74">
        <v>80</v>
      </c>
      <c r="AC75" s="64" t="s">
        <v>1769</v>
      </c>
      <c r="AD75" s="64" t="s">
        <v>1770</v>
      </c>
      <c r="AE75" s="64" t="s">
        <v>1771</v>
      </c>
      <c r="AF75" s="64" t="s">
        <v>1772</v>
      </c>
      <c r="AG75" s="64" t="s">
        <v>1773</v>
      </c>
      <c r="AH75" s="64" t="s">
        <v>1774</v>
      </c>
      <c r="AI75" s="64" t="s">
        <v>1775</v>
      </c>
      <c r="AJ75" s="74" t="str">
        <f t="shared" si="21"/>
        <v>202643</v>
      </c>
      <c r="AK75" s="74">
        <v>100</v>
      </c>
      <c r="AL75" s="64" t="s">
        <v>1776</v>
      </c>
      <c r="AM75" s="64" t="s">
        <v>1777</v>
      </c>
      <c r="AN75" s="64" t="s">
        <v>1778</v>
      </c>
      <c r="AO75" s="64" t="s">
        <v>1779</v>
      </c>
      <c r="AP75" s="64" t="s">
        <v>1780</v>
      </c>
      <c r="AQ75" s="64" t="s">
        <v>1781</v>
      </c>
      <c r="AR75" s="64" t="s">
        <v>1782</v>
      </c>
      <c r="AS75" s="74" t="str">
        <f t="shared" si="22"/>
        <v>202663</v>
      </c>
      <c r="AT75" s="74">
        <v>120</v>
      </c>
      <c r="AU75" s="64"/>
      <c r="AV75" s="64"/>
      <c r="AW75" s="64"/>
      <c r="AX75" s="64"/>
      <c r="AY75" s="64"/>
      <c r="AZ75" s="64"/>
      <c r="BA75" s="64"/>
      <c r="BB75" s="64"/>
      <c r="BC75" s="64"/>
    </row>
    <row r="76" spans="1:100" ht="32.1" customHeight="1">
      <c r="A76" s="131"/>
      <c r="B76" s="96" t="str">
        <f>VLOOKUP("STK",Sprachindex!A:Z,Info!$O$6,FALSE)</f>
        <v>STK</v>
      </c>
      <c r="C76" s="95"/>
      <c r="D76" s="95">
        <f>IF($N$18=2,AA76,IF($N$18=3,AJ76,IF($N$18=4,AS76,IF($N$18=5,BB76,0))))</f>
        <v>0</v>
      </c>
      <c r="E76" s="250" t="str">
        <f>VLOOKUP("Sockelknie 30 mm Ausladung",Sprachindex!A:Z,Info!$O$6,FALSE)</f>
        <v>Sockelknie 30 mm Ausladung</v>
      </c>
      <c r="F76" s="251"/>
      <c r="G76" s="251"/>
      <c r="H76" s="251"/>
      <c r="I76" s="251"/>
      <c r="J76" s="307" t="str">
        <f>IF($N$18="","",IF($N$18=1,Formeln!$A$174,IF($N$18=2,Formeln!$A$174,IF($N$18=3,Formeln!$F$191,IF($N$18=4,Formeln!$A$174,"")))))</f>
        <v/>
      </c>
      <c r="K76" s="308"/>
      <c r="L76" s="96" t="str">
        <f t="shared" si="4"/>
        <v xml:space="preserve"> </v>
      </c>
      <c r="M76" s="130"/>
      <c r="N76" s="87"/>
      <c r="O76" s="1"/>
      <c r="P76" s="191" t="e">
        <f>ROUNDUP($A76/R76,0)*R76 &amp; "  " &amp; Formeln_RI_P.10!$A$111</f>
        <v>#VALUE!</v>
      </c>
      <c r="Q76" s="191" t="str">
        <f>ROUNDUP($A76/S76,0)*S76 &amp; "  " &amp; Formeln_RI_P.10!$A$111</f>
        <v>0  STK</v>
      </c>
      <c r="R76" s="191" t="str">
        <f>IF($N$18=1,"",IF($N$18=2,"",IF($N$18=3,8,IF($N$18=4,"",""))))</f>
        <v/>
      </c>
      <c r="S76" s="191">
        <v>1</v>
      </c>
      <c r="T76" s="64"/>
      <c r="U76" s="64"/>
      <c r="V76" s="64"/>
      <c r="W76" s="64"/>
      <c r="X76" s="64"/>
      <c r="Y76" s="64"/>
      <c r="Z76" s="64"/>
      <c r="AA76" s="74">
        <f t="shared" si="20"/>
        <v>0</v>
      </c>
      <c r="AB76" s="74"/>
      <c r="AC76" s="64" t="s">
        <v>1783</v>
      </c>
      <c r="AD76" s="64" t="s">
        <v>1784</v>
      </c>
      <c r="AE76" s="64" t="s">
        <v>1785</v>
      </c>
      <c r="AF76" s="64" t="s">
        <v>1786</v>
      </c>
      <c r="AG76" s="64" t="s">
        <v>1787</v>
      </c>
      <c r="AH76" s="64" t="s">
        <v>1788</v>
      </c>
      <c r="AI76" s="64" t="s">
        <v>1789</v>
      </c>
      <c r="AJ76" s="74" t="str">
        <f t="shared" si="21"/>
        <v>204323</v>
      </c>
      <c r="AK76" s="74">
        <v>100</v>
      </c>
      <c r="AL76" s="64"/>
      <c r="AM76" s="64"/>
      <c r="AN76" s="64"/>
      <c r="AO76" s="64"/>
      <c r="AP76" s="64"/>
      <c r="AQ76" s="64"/>
      <c r="AR76" s="64"/>
      <c r="AS76" s="74"/>
      <c r="AT76" s="74"/>
      <c r="AU76" s="64"/>
      <c r="AV76" s="64"/>
      <c r="AW76" s="64"/>
      <c r="AX76" s="64"/>
      <c r="AY76" s="64"/>
      <c r="AZ76" s="64"/>
      <c r="BA76" s="64"/>
      <c r="BB76" s="64"/>
      <c r="BC76" s="64"/>
    </row>
    <row r="77" spans="1:100" ht="32.1" customHeight="1">
      <c r="A77" s="131"/>
      <c r="B77" s="96" t="str">
        <f>VLOOKUP("STK",Sprachindex!A:Z,Info!$O$6,FALSE)</f>
        <v>STK</v>
      </c>
      <c r="C77" s="95"/>
      <c r="D77" s="95">
        <f>IF($N$18=2,AA77,IF($N$18=3,AJ77,IF($N$18=4,AS77,IF($N$18=5,BB77,0))))</f>
        <v>0</v>
      </c>
      <c r="E77" s="250" t="str">
        <f>VLOOKUP("Wassersammler",Sprachindex!A:Z,Info!$O$6,FALSE)</f>
        <v>Wassersammler</v>
      </c>
      <c r="F77" s="251"/>
      <c r="G77" s="251"/>
      <c r="H77" s="251"/>
      <c r="I77" s="251"/>
      <c r="J77" s="307" t="str">
        <f>Formeln_RI_P.10!A231</f>
        <v/>
      </c>
      <c r="K77" s="308"/>
      <c r="L77" s="96" t="str">
        <f t="shared" si="4"/>
        <v xml:space="preserve"> </v>
      </c>
      <c r="M77" s="130"/>
      <c r="N77" s="87"/>
      <c r="O77" s="1"/>
      <c r="P77" s="191" t="e">
        <f>ROUNDUP($A77/R77,0)*R77 &amp; "  " &amp; Formeln_RI_P.10!$A$111</f>
        <v>#VALUE!</v>
      </c>
      <c r="Q77" s="191" t="str">
        <f>ROUNDUP($A77/S77,0)*S77 &amp; "  " &amp; Formeln_RI_P.10!$A$111</f>
        <v>0  STK</v>
      </c>
      <c r="R77" s="191" t="str">
        <f>IF($N$18=1,"",IF($N$18=2,1,IF($N$18=3,1,IF($N$18=4,1,""))))</f>
        <v/>
      </c>
      <c r="S77" s="191">
        <v>1</v>
      </c>
      <c r="T77" s="64" t="s">
        <v>1790</v>
      </c>
      <c r="U77" s="64" t="s">
        <v>1791</v>
      </c>
      <c r="V77" s="64" t="s">
        <v>1792</v>
      </c>
      <c r="W77" s="64" t="s">
        <v>1485</v>
      </c>
      <c r="X77" s="64" t="s">
        <v>1793</v>
      </c>
      <c r="Y77" s="64" t="s">
        <v>1794</v>
      </c>
      <c r="Z77" s="64" t="s">
        <v>1795</v>
      </c>
      <c r="AA77" s="74" t="str">
        <f t="shared" si="20"/>
        <v>203123</v>
      </c>
      <c r="AB77" s="74">
        <v>80</v>
      </c>
      <c r="AC77" s="64" t="s">
        <v>1796</v>
      </c>
      <c r="AD77" s="64" t="s">
        <v>1797</v>
      </c>
      <c r="AE77" s="64" t="s">
        <v>1798</v>
      </c>
      <c r="AF77" s="64" t="s">
        <v>1799</v>
      </c>
      <c r="AG77" s="64" t="s">
        <v>1800</v>
      </c>
      <c r="AH77" s="64" t="s">
        <v>1801</v>
      </c>
      <c r="AI77" s="64" t="s">
        <v>1802</v>
      </c>
      <c r="AJ77" s="74" t="str">
        <f t="shared" si="21"/>
        <v>203143</v>
      </c>
      <c r="AK77" s="74">
        <v>100</v>
      </c>
      <c r="AL77" s="64" t="s">
        <v>1803</v>
      </c>
      <c r="AM77" s="64" t="s">
        <v>1804</v>
      </c>
      <c r="AN77" s="64" t="s">
        <v>1805</v>
      </c>
      <c r="AO77" s="64" t="s">
        <v>1806</v>
      </c>
      <c r="AP77" s="64" t="s">
        <v>1807</v>
      </c>
      <c r="AQ77" s="64" t="s">
        <v>1808</v>
      </c>
      <c r="AR77" s="64" t="s">
        <v>1809</v>
      </c>
      <c r="AS77" s="74" t="str">
        <f t="shared" ref="AS77:AS78" si="24">IF($N$16=1,AL77,IF($N$16=2,AM77,IF($N$16=3,AN77,IF($N$16=4,AO77,IF($N$16=5,AP77,IF($N$16=6,AQ77,IF($N$16=7,AR77,0)))))))</f>
        <v>203163</v>
      </c>
      <c r="AT77" s="74">
        <v>120</v>
      </c>
    </row>
    <row r="78" spans="1:100" ht="32.1" customHeight="1">
      <c r="A78" s="131"/>
      <c r="B78" s="96" t="str">
        <f>VLOOKUP("STK",Sprachindex!A:Z,Info!$O$6,FALSE)</f>
        <v>STK</v>
      </c>
      <c r="C78" s="95"/>
      <c r="D78" s="95">
        <f>IF($N$18=2,AA78,IF($N$18=3,AJ78,IF($N$18=4,AS78,IF($N$18=5,BB78,0))))</f>
        <v>0</v>
      </c>
      <c r="E78" s="250" t="str">
        <f>VLOOKUP("Regenklappe",Sprachindex!A:Z,Info!$O$6,FALSE)</f>
        <v>Regenklappe</v>
      </c>
      <c r="F78" s="251"/>
      <c r="G78" s="251"/>
      <c r="H78" s="251"/>
      <c r="I78" s="251"/>
      <c r="J78" s="307" t="str">
        <f>Formeln_RI_P.10!A231</f>
        <v/>
      </c>
      <c r="K78" s="308"/>
      <c r="L78" s="96" t="str">
        <f t="shared" si="4"/>
        <v xml:space="preserve"> </v>
      </c>
      <c r="M78" s="130"/>
      <c r="N78" s="87"/>
      <c r="O78" s="1"/>
      <c r="P78" s="191" t="e">
        <f>ROUNDUP($A78/R78,0)*R78 &amp; "  " &amp; Formeln_RI_P.10!$A$111</f>
        <v>#VALUE!</v>
      </c>
      <c r="Q78" s="191" t="str">
        <f>ROUNDUP($A78/S78,0)*S78 &amp; "  " &amp; Formeln_RI_P.10!$A$111</f>
        <v>0  STK</v>
      </c>
      <c r="R78" s="191" t="str">
        <f>IF($N$18=1,"",IF($N$18=2,1,IF($N$18=3,1,IF($N$18=4,1,""))))</f>
        <v/>
      </c>
      <c r="S78" s="191">
        <v>1</v>
      </c>
      <c r="T78" s="64" t="s">
        <v>1810</v>
      </c>
      <c r="U78" s="64" t="s">
        <v>1811</v>
      </c>
      <c r="V78" s="64" t="s">
        <v>1812</v>
      </c>
      <c r="W78" s="64" t="s">
        <v>1813</v>
      </c>
      <c r="X78" s="64" t="s">
        <v>1814</v>
      </c>
      <c r="Y78" s="64" t="s">
        <v>1815</v>
      </c>
      <c r="Z78" s="64" t="s">
        <v>1816</v>
      </c>
      <c r="AA78" s="74" t="str">
        <f t="shared" si="20"/>
        <v>203023</v>
      </c>
      <c r="AB78" s="74">
        <v>80</v>
      </c>
      <c r="AC78" s="64" t="s">
        <v>1817</v>
      </c>
      <c r="AD78" s="64" t="s">
        <v>1818</v>
      </c>
      <c r="AE78" s="64" t="s">
        <v>1819</v>
      </c>
      <c r="AF78" s="64" t="s">
        <v>1820</v>
      </c>
      <c r="AG78" s="64" t="s">
        <v>1821</v>
      </c>
      <c r="AH78" s="64" t="s">
        <v>1822</v>
      </c>
      <c r="AI78" s="64" t="s">
        <v>1823</v>
      </c>
      <c r="AJ78" s="74" t="str">
        <f t="shared" si="21"/>
        <v>203043</v>
      </c>
      <c r="AK78" s="74">
        <v>100</v>
      </c>
      <c r="AL78" s="64" t="s">
        <v>1824</v>
      </c>
      <c r="AM78" s="64" t="s">
        <v>1825</v>
      </c>
      <c r="AN78" s="64" t="s">
        <v>1826</v>
      </c>
      <c r="AO78" s="64" t="s">
        <v>1827</v>
      </c>
      <c r="AP78" s="64" t="s">
        <v>1828</v>
      </c>
      <c r="AQ78" s="64" t="s">
        <v>1829</v>
      </c>
      <c r="AR78" s="64" t="s">
        <v>1830</v>
      </c>
      <c r="AS78" s="74" t="str">
        <f t="shared" si="24"/>
        <v>203063</v>
      </c>
      <c r="AT78" s="74">
        <v>120</v>
      </c>
    </row>
    <row r="79" spans="1:100" ht="32.1" customHeight="1">
      <c r="A79" s="131"/>
      <c r="B79" s="96" t="str">
        <f>VLOOKUP("STK",Sprachindex!A:Z,Info!$O$6,FALSE)</f>
        <v>STK</v>
      </c>
      <c r="C79" s="95"/>
      <c r="D79" s="95" t="str">
        <f>IF(N18=2,AA79,IF(N18=3,AJ79,IF(N18=4,AS79,"")))</f>
        <v/>
      </c>
      <c r="E79" s="250" t="str">
        <f>VLOOKUP("Ersatzgitter für Regenklappe",Sprachindex!A:Z,Info!$O$6,FALSE)</f>
        <v>Ersatzgitter für Regenklappe</v>
      </c>
      <c r="F79" s="251"/>
      <c r="G79" s="251"/>
      <c r="H79" s="251"/>
      <c r="I79" s="251"/>
      <c r="J79" s="307" t="str">
        <f>Formeln_RI_P.10!A222</f>
        <v/>
      </c>
      <c r="K79" s="308"/>
      <c r="L79" s="96" t="str">
        <f t="shared" si="4"/>
        <v xml:space="preserve"> </v>
      </c>
      <c r="M79" s="130"/>
      <c r="N79" s="87"/>
      <c r="O79" s="1"/>
      <c r="P79" s="191" t="e">
        <f>ROUNDUP($A79/R79,0)*R79 &amp; "  " &amp; Formeln_RI_P.10!$A$111</f>
        <v>#VALUE!</v>
      </c>
      <c r="Q79" s="191" t="str">
        <f>ROUNDUP($A79/S79,0)*S79 &amp; "  " &amp; Formeln_RI_P.10!$A$111</f>
        <v>0  STK</v>
      </c>
      <c r="R79" s="191" t="str">
        <f>IF($N$18=1,"",IF($N$18=2,1,IF($N$18=3,1,IF($N$18=4,1,""))))</f>
        <v/>
      </c>
      <c r="S79" s="191">
        <v>1</v>
      </c>
      <c r="T79" s="64"/>
      <c r="U79" s="64"/>
      <c r="V79" s="64"/>
      <c r="W79" s="64"/>
      <c r="X79" s="64"/>
      <c r="Y79" s="64"/>
      <c r="Z79" s="64"/>
      <c r="AA79" s="74">
        <v>539089</v>
      </c>
      <c r="AB79" s="74">
        <v>80</v>
      </c>
      <c r="AC79" s="64"/>
      <c r="AD79" s="64"/>
      <c r="AE79" s="64"/>
      <c r="AF79" s="64"/>
      <c r="AG79" s="64"/>
      <c r="AH79" s="64"/>
      <c r="AI79" s="64"/>
      <c r="AJ79" s="74">
        <v>539090</v>
      </c>
      <c r="AK79" s="74">
        <v>100</v>
      </c>
      <c r="AL79" s="64"/>
      <c r="AM79" s="64"/>
      <c r="AN79" s="64"/>
      <c r="AO79" s="64"/>
      <c r="AP79" s="64"/>
      <c r="AQ79" s="64"/>
      <c r="AR79" s="64"/>
      <c r="AS79" s="74">
        <v>539091</v>
      </c>
      <c r="AT79" s="74">
        <v>120</v>
      </c>
    </row>
    <row r="80" spans="1:100" ht="32.1" customHeight="1">
      <c r="A80" s="227"/>
      <c r="B80" s="96" t="str">
        <f>VLOOKUP("STK",Sprachindex!A:Z,Info!$O$6,FALSE)</f>
        <v>STK</v>
      </c>
      <c r="C80" s="95"/>
      <c r="D80" s="95">
        <f>IF(AND($N$18=2,J80=Formeln_RI_P.10!A235),AA80,IF(AND($N$18=3,J80=Formeln_RI_P.10!A236),BB80,IF(AND($N$18=3,J80=Formeln_RI_P.10!A237),BK80,IF(AND($N$18=4,J80=Formeln_RI_P.10!A235),BT80,IF(AND($N$18=4,J80=Formeln_RI_P.10!A236),CC80,IF(AND($N$18=4,J80=Formeln_RI_P.10!A237),CL80,IF(AND($N$18=2,J80=Formeln_RI_P.10!A236),AJ80,IF(AND($N$18=3,J80=Formeln_RI_P.10!A235),AS80,0))))))))</f>
        <v>0</v>
      </c>
      <c r="E80" s="250" t="str">
        <f>VLOOKUP("Rohreinmündung",Sprachindex!A:Z,Info!$O$6,FALSE)</f>
        <v>Rohreinmündung</v>
      </c>
      <c r="F80" s="251"/>
      <c r="G80" s="251"/>
      <c r="H80" s="251"/>
      <c r="I80" s="251"/>
      <c r="J80" s="301"/>
      <c r="K80" s="309"/>
      <c r="L80" s="96" t="str">
        <f t="shared" si="4"/>
        <v xml:space="preserve"> </v>
      </c>
      <c r="M80" s="130"/>
      <c r="N80" s="87"/>
      <c r="O80" s="1"/>
      <c r="P80" s="191" t="e">
        <f>ROUNDUP($A80/R80,0)*R80 &amp; "  " &amp; Formeln_RI_P.10!$A$111</f>
        <v>#VALUE!</v>
      </c>
      <c r="Q80" s="191" t="str">
        <f>ROUNDUP($A80/S80,0)*S80 &amp; "  " &amp; Formeln_RI_P.10!$A$111</f>
        <v>0  STK</v>
      </c>
      <c r="R80" s="191" t="str">
        <f>IF(J80="","",IF($N$18=1,"",IF(OR($N$18=2,3),2,IF($N$18=4,1,""))))</f>
        <v/>
      </c>
      <c r="S80" s="191">
        <v>1</v>
      </c>
      <c r="T80" s="166" t="s">
        <v>1831</v>
      </c>
      <c r="U80" s="166" t="s">
        <v>1832</v>
      </c>
      <c r="V80" s="166" t="s">
        <v>1833</v>
      </c>
      <c r="W80" s="166" t="s">
        <v>1834</v>
      </c>
      <c r="X80" s="166" t="s">
        <v>1835</v>
      </c>
      <c r="Y80" s="166" t="s">
        <v>1836</v>
      </c>
      <c r="Z80" s="166" t="s">
        <v>1837</v>
      </c>
      <c r="AA80" s="74" t="str">
        <f t="shared" ref="AA80:AA92" si="25">IF($N$16=1,T80,IF($N$16=2,U80,IF($N$16=3,V80,IF($N$16=4,W80,IF($N$16=5,X80,IF($N$16=6,Y80,IF($N$16=7,Z80,0)))))))</f>
        <v>203203</v>
      </c>
      <c r="AB80" s="74" t="s">
        <v>661</v>
      </c>
      <c r="AC80" s="166" t="s">
        <v>1838</v>
      </c>
      <c r="AD80" s="166" t="s">
        <v>1839</v>
      </c>
      <c r="AE80" s="166" t="s">
        <v>1840</v>
      </c>
      <c r="AF80" s="166" t="s">
        <v>1841</v>
      </c>
      <c r="AG80" s="166" t="s">
        <v>1842</v>
      </c>
      <c r="AH80" s="166" t="s">
        <v>1843</v>
      </c>
      <c r="AI80" s="166" t="s">
        <v>1844</v>
      </c>
      <c r="AJ80" s="74" t="str">
        <f>IF($N$16=1,AC80,IF($N$16=2,AD80,IF($N$16=3,AE80,IF($N$16=4,AF80,IF($N$16=5,AG80,IF($N$16=6,AH80,IF($N$16=7,AI80,0)))))))</f>
        <v>203243</v>
      </c>
      <c r="AK80" s="74" t="s">
        <v>673</v>
      </c>
      <c r="AL80" s="166" t="s">
        <v>1845</v>
      </c>
      <c r="AM80" s="166" t="s">
        <v>1846</v>
      </c>
      <c r="AN80" s="166" t="s">
        <v>1847</v>
      </c>
      <c r="AO80" s="166" t="s">
        <v>1848</v>
      </c>
      <c r="AP80" s="166" t="s">
        <v>1849</v>
      </c>
      <c r="AQ80" s="166" t="s">
        <v>1850</v>
      </c>
      <c r="AR80" s="166" t="s">
        <v>1851</v>
      </c>
      <c r="AS80" s="74" t="str">
        <f t="shared" ref="AS80:AS89" si="26">IF($N$16=1,AL80,IF($N$16=2,AM80,IF($N$16=3,AN80,IF($N$16=4,AO80,IF($N$16=5,AP80,IF($N$16=6,AQ80,IF($N$16=7,AR80,0)))))))</f>
        <v>203223</v>
      </c>
      <c r="AT80" s="74" t="s">
        <v>678</v>
      </c>
      <c r="AU80" s="166" t="s">
        <v>1852</v>
      </c>
      <c r="AV80" s="166" t="s">
        <v>1853</v>
      </c>
      <c r="AW80" s="166" t="s">
        <v>1854</v>
      </c>
      <c r="AX80" s="166" t="s">
        <v>1854</v>
      </c>
      <c r="AY80" s="166" t="s">
        <v>1855</v>
      </c>
      <c r="AZ80" s="166" t="s">
        <v>1856</v>
      </c>
      <c r="BA80" s="166" t="s">
        <v>1857</v>
      </c>
      <c r="BB80" s="74" t="str">
        <f t="shared" ref="BB80:BB84" si="27">IF($N$16=1,AU80,IF($N$16=2,AV80,IF($N$16=3,AW80,IF($N$16=4,AX80,IF($N$16=5,AY80,IF($N$16=6,AZ80,IF($N$16=7,BA80,0)))))))</f>
        <v>203263</v>
      </c>
      <c r="BC80" s="74" t="s">
        <v>690</v>
      </c>
      <c r="BD80" s="166" t="s">
        <v>1858</v>
      </c>
      <c r="BE80" s="166" t="s">
        <v>1859</v>
      </c>
      <c r="BF80" s="166" t="s">
        <v>1860</v>
      </c>
      <c r="BG80" s="166" t="s">
        <v>1861</v>
      </c>
      <c r="BH80" s="166" t="s">
        <v>1862</v>
      </c>
      <c r="BI80" s="166" t="s">
        <v>1863</v>
      </c>
      <c r="BJ80" s="166" t="s">
        <v>1864</v>
      </c>
      <c r="BK80" s="74" t="str">
        <f t="shared" ref="BK80:BK82" si="28">IF($N$16=1,BD80,IF($N$16=2,BE80,IF($N$16=3,BF80,IF($N$16=4,BG80,IF($N$16=5,BH80,IF($N$16=6,BI80,IF($N$16=7,BJ80,0)))))))</f>
        <v>203323</v>
      </c>
      <c r="BL80" s="74" t="s">
        <v>702</v>
      </c>
      <c r="BM80" s="166" t="s">
        <v>1865</v>
      </c>
      <c r="BN80" s="166" t="s">
        <v>1866</v>
      </c>
      <c r="BO80" s="166" t="s">
        <v>1867</v>
      </c>
      <c r="BP80" s="166" t="s">
        <v>1868</v>
      </c>
      <c r="BQ80" s="166" t="s">
        <v>1869</v>
      </c>
      <c r="BR80" s="166" t="s">
        <v>1870</v>
      </c>
      <c r="BS80" s="166" t="s">
        <v>1871</v>
      </c>
      <c r="BT80" s="74" t="str">
        <f t="shared" ref="BT80" si="29">IF($N$16=1,BM80,IF($N$16=2,BN80,IF($N$16=3,BO80,IF($N$16=4,BP80,IF($N$16=5,BQ80,IF($N$16=6,BR80,IF($N$16=7,BS80,0)))))))</f>
        <v>203283</v>
      </c>
      <c r="BU80" s="74" t="s">
        <v>703</v>
      </c>
      <c r="BV80" s="166" t="s">
        <v>1872</v>
      </c>
      <c r="BW80" s="166" t="s">
        <v>1873</v>
      </c>
      <c r="BX80" s="166" t="s">
        <v>1874</v>
      </c>
      <c r="BY80" s="166" t="s">
        <v>1875</v>
      </c>
      <c r="BZ80" s="166" t="s">
        <v>1876</v>
      </c>
      <c r="CA80" s="166" t="s">
        <v>1877</v>
      </c>
      <c r="CB80" s="166" t="s">
        <v>1878</v>
      </c>
      <c r="CC80" s="74" t="str">
        <f t="shared" ref="CC80" si="30">IF($N$16=1,BV80,IF($N$16=2,BW80,IF($N$16=3,BX80,IF($N$16=4,BY80,IF($N$16=5,BZ80,IF($N$16=6,CA80,IF($N$16=7,CB80,0)))))))</f>
        <v>203343</v>
      </c>
      <c r="CD80" s="74" t="s">
        <v>704</v>
      </c>
      <c r="CE80" s="166" t="s">
        <v>1879</v>
      </c>
      <c r="CF80" s="166" t="s">
        <v>1880</v>
      </c>
      <c r="CG80" s="166" t="s">
        <v>1881</v>
      </c>
      <c r="CH80" s="166" t="s">
        <v>1882</v>
      </c>
      <c r="CI80" s="166" t="s">
        <v>1883</v>
      </c>
      <c r="CJ80" s="166" t="s">
        <v>1884</v>
      </c>
      <c r="CK80" s="166" t="s">
        <v>1885</v>
      </c>
      <c r="CL80" s="74" t="str">
        <f t="shared" ref="CL80" si="31">IF($N$16=1,CE80,IF($N$16=2,CF80,IF($N$16=3,CG80,IF($N$16=4,CH80,IF($N$16=5,CI80,IF($N$16=6,CJ80,IF($N$16=7,CK80,0)))))))</f>
        <v>203363</v>
      </c>
      <c r="CM80" s="74" t="s">
        <v>705</v>
      </c>
    </row>
    <row r="81" spans="1:138" ht="32.1" customHeight="1">
      <c r="A81" s="227"/>
      <c r="B81" s="96" t="str">
        <f>VLOOKUP("STK",Sprachindex!A:Z,Info!$O$6,FALSE)</f>
        <v>STK</v>
      </c>
      <c r="C81" s="95"/>
      <c r="D81" s="95" t="str">
        <f>IF(N18=3,AA81,"")</f>
        <v/>
      </c>
      <c r="E81" s="250" t="str">
        <f>VLOOKUP("Rohreinmündung konisch",Sprachindex!A:Z,Info!$O$6,FALSE)</f>
        <v>Rohreinmündung konisch</v>
      </c>
      <c r="F81" s="251"/>
      <c r="G81" s="251"/>
      <c r="H81" s="251"/>
      <c r="I81" s="314"/>
      <c r="J81" s="307" t="str">
        <f>IF('RI_P.10'!N18=0,"",IF(N18=3,VLOOKUP("100 × ⌀ 50–75 mm",Sprachindex!A:Z,Info!$O$6,FALSE),Formeln_RI_P.10!A169))</f>
        <v/>
      </c>
      <c r="K81" s="308"/>
      <c r="L81" s="96" t="str">
        <f>IF(OR(A81="",R81="",S81="")," ",IF($N$11=1,P81,IF($N$11=2,Q81,"")))</f>
        <v xml:space="preserve"> </v>
      </c>
      <c r="M81" s="130"/>
      <c r="N81" s="87"/>
      <c r="O81" s="1"/>
      <c r="P81" s="191" t="e">
        <f>ROUNDUP($A81/R81,0)*R81 &amp; "  " &amp; Formeln_RI_P.10!$A$111</f>
        <v>#VALUE!</v>
      </c>
      <c r="Q81" s="191" t="str">
        <f>ROUNDUP($A81/S81,0)*S81 &amp; "  " &amp; Formeln_RI_P.10!$A$111</f>
        <v>0  STK</v>
      </c>
      <c r="R81" s="191" t="str">
        <f>IF($N$18=3,2,"")</f>
        <v/>
      </c>
      <c r="S81" s="191">
        <v>1</v>
      </c>
      <c r="T81" s="64" t="s">
        <v>1886</v>
      </c>
      <c r="U81" s="64" t="s">
        <v>1887</v>
      </c>
      <c r="V81" s="64" t="s">
        <v>1888</v>
      </c>
      <c r="W81" s="64" t="s">
        <v>1889</v>
      </c>
      <c r="X81" s="64" t="s">
        <v>1890</v>
      </c>
      <c r="Y81" s="64" t="s">
        <v>1891</v>
      </c>
      <c r="Z81" s="64" t="s">
        <v>1892</v>
      </c>
      <c r="AA81" s="74" t="str">
        <f t="shared" si="25"/>
        <v>203303</v>
      </c>
      <c r="AB81" s="74" t="s">
        <v>717</v>
      </c>
    </row>
    <row r="82" spans="1:138" ht="32.1" customHeight="1">
      <c r="A82" s="131"/>
      <c r="B82" s="96" t="str">
        <f>VLOOKUP("STK",Sprachindex!A:Z,Info!$O$6,FALSE)</f>
        <v>STK</v>
      </c>
      <c r="C82" s="95"/>
      <c r="D82" s="95" t="str">
        <f>IF(AND(N18=1,J82=Formeln_RI_P.10!A250),AA82,IF(AND(N18=2,J82=Formeln_RI_P.10!A250),AJ82,IF(AND(N18=3,J82=Formeln_RI_P.10!A250),AS82,IF(AND(N18=3,J82=Formeln_RI_P.10!A251),BB82,IF(AND(N18=4,J82=Formeln_RI_P.10!A250),BK82,"")))))</f>
        <v/>
      </c>
      <c r="E82" s="250" t="str">
        <f>VLOOKUP("Standrohrkappe",Sprachindex!A:Z,Info!$O$6,FALSE)</f>
        <v>Standrohrkappe</v>
      </c>
      <c r="F82" s="251"/>
      <c r="G82" s="251"/>
      <c r="H82" s="251"/>
      <c r="I82" s="314"/>
      <c r="J82" s="301"/>
      <c r="K82" s="309"/>
      <c r="L82" s="96" t="str">
        <f t="shared" si="4"/>
        <v xml:space="preserve"> </v>
      </c>
      <c r="M82" s="130"/>
      <c r="N82" s="87"/>
      <c r="O82" s="1"/>
      <c r="P82" s="191" t="e">
        <f>ROUNDUP($A82/R82,0)*R82 &amp; "  " &amp; Formeln_RI_P.10!$A$111</f>
        <v>#VALUE!</v>
      </c>
      <c r="Q82" s="191" t="str">
        <f>ROUNDUP($A82/S82,0)*S82 &amp; "  " &amp; Formeln_RI_P.10!$A$111</f>
        <v>0  STK</v>
      </c>
      <c r="R82" s="191" t="str">
        <f>IF(J82="","",IF($N$18=1,20,IF($N$18=2,20,IF($N$18=3,20,IF($N$18=4,10,"")))))</f>
        <v/>
      </c>
      <c r="S82" s="191">
        <v>1</v>
      </c>
      <c r="T82" s="64" t="s">
        <v>1893</v>
      </c>
      <c r="U82" s="64" t="s">
        <v>1894</v>
      </c>
      <c r="V82" s="64" t="s">
        <v>1895</v>
      </c>
      <c r="W82" s="64" t="s">
        <v>1896</v>
      </c>
      <c r="X82" s="64" t="s">
        <v>1897</v>
      </c>
      <c r="Y82" s="64" t="s">
        <v>1898</v>
      </c>
      <c r="Z82" s="64" t="s">
        <v>1899</v>
      </c>
      <c r="AA82" s="74" t="str">
        <f t="shared" si="25"/>
        <v>203603</v>
      </c>
      <c r="AB82" s="74" t="s">
        <v>722</v>
      </c>
      <c r="AC82" s="64" t="s">
        <v>1900</v>
      </c>
      <c r="AD82" s="64" t="s">
        <v>1901</v>
      </c>
      <c r="AE82" s="64" t="s">
        <v>1902</v>
      </c>
      <c r="AF82" s="64" t="s">
        <v>1903</v>
      </c>
      <c r="AG82" s="64" t="s">
        <v>1904</v>
      </c>
      <c r="AH82" s="64" t="s">
        <v>1905</v>
      </c>
      <c r="AI82" s="64" t="s">
        <v>1906</v>
      </c>
      <c r="AJ82" s="74" t="str">
        <f t="shared" ref="AJ82:AJ89" si="32">IF($N$16=1,AC82,IF($N$16=2,AD82,IF($N$16=3,AE82,IF($N$16=4,AF82,IF($N$16=5,AG82,IF($N$16=6,AH82,IF($N$16=7,AI82,0)))))))</f>
        <v>203623</v>
      </c>
      <c r="AK82" s="74" t="s">
        <v>734</v>
      </c>
      <c r="AL82" s="64" t="s">
        <v>1907</v>
      </c>
      <c r="AM82" s="64" t="s">
        <v>1908</v>
      </c>
      <c r="AN82" s="64" t="s">
        <v>1909</v>
      </c>
      <c r="AO82" s="64" t="s">
        <v>1910</v>
      </c>
      <c r="AP82" s="64" t="s">
        <v>1911</v>
      </c>
      <c r="AQ82" s="64" t="s">
        <v>1912</v>
      </c>
      <c r="AR82" s="64" t="s">
        <v>1913</v>
      </c>
      <c r="AS82" s="74" t="str">
        <f t="shared" si="26"/>
        <v>203643</v>
      </c>
      <c r="AT82" s="74" t="s">
        <v>746</v>
      </c>
      <c r="AU82" s="64" t="s">
        <v>1914</v>
      </c>
      <c r="AV82" s="64" t="s">
        <v>1915</v>
      </c>
      <c r="AW82" s="64" t="s">
        <v>1916</v>
      </c>
      <c r="AX82" s="64" t="s">
        <v>1917</v>
      </c>
      <c r="AY82" s="64" t="s">
        <v>1918</v>
      </c>
      <c r="AZ82" s="64" t="s">
        <v>1919</v>
      </c>
      <c r="BA82" s="64" t="s">
        <v>1920</v>
      </c>
      <c r="BB82" s="74" t="str">
        <f t="shared" si="27"/>
        <v>203663</v>
      </c>
      <c r="BC82" s="74" t="s">
        <v>758</v>
      </c>
      <c r="BD82" s="64" t="s">
        <v>1921</v>
      </c>
      <c r="BE82" s="64" t="s">
        <v>1922</v>
      </c>
      <c r="BF82" s="64" t="s">
        <v>1923</v>
      </c>
      <c r="BG82" s="64" t="s">
        <v>1924</v>
      </c>
      <c r="BH82" s="64" t="s">
        <v>1925</v>
      </c>
      <c r="BI82" s="64" t="s">
        <v>1926</v>
      </c>
      <c r="BJ82" s="64" t="s">
        <v>1927</v>
      </c>
      <c r="BK82" s="74" t="str">
        <f t="shared" si="28"/>
        <v>203683</v>
      </c>
      <c r="BL82" s="74" t="s">
        <v>770</v>
      </c>
    </row>
    <row r="83" spans="1:138" ht="32.1" customHeight="1">
      <c r="A83" s="131"/>
      <c r="B83" s="96" t="str">
        <f>VLOOKUP("STK",Sprachindex!A:Z,Info!$O$6,FALSE)</f>
        <v>STK</v>
      </c>
      <c r="C83" s="95"/>
      <c r="D83" s="95">
        <f>IF($N$18=2,AA83,IF($N$18=3,AJ83,IF($N$18=4,AS83,IF($N$18=5,BB83,0))))</f>
        <v>0</v>
      </c>
      <c r="E83" s="250" t="str">
        <f>VLOOKUP("Standrohr mit Reinigungsöffnung",Sprachindex!A:Z,Info!$O$6,FALSE)</f>
        <v>Standrohr mit Reinigungsöffnung</v>
      </c>
      <c r="F83" s="251"/>
      <c r="G83" s="251"/>
      <c r="H83" s="251"/>
      <c r="I83" s="251"/>
      <c r="J83" s="307" t="str">
        <f>Formeln_RI_P.10!A254</f>
        <v/>
      </c>
      <c r="K83" s="308"/>
      <c r="L83" s="96" t="str">
        <f t="shared" si="4"/>
        <v xml:space="preserve"> </v>
      </c>
      <c r="M83" s="130"/>
      <c r="N83" s="87"/>
      <c r="O83" s="1"/>
      <c r="P83" s="191" t="e">
        <f>ROUNDUP($A83/R83,0)*R83 &amp; "  " &amp; Formeln_RI_P.10!$A$111</f>
        <v>#VALUE!</v>
      </c>
      <c r="Q83" s="191" t="str">
        <f>ROUNDUP($A83/S83,0)*S83 &amp; "  " &amp; Formeln_RI_P.10!$A$111</f>
        <v>0  STK</v>
      </c>
      <c r="R83" s="191" t="str">
        <f>IF($N$18=2,1,IF($N$18=3,1,IF($N$18=4,1,"")))</f>
        <v/>
      </c>
      <c r="S83" s="191">
        <v>1</v>
      </c>
      <c r="T83" s="64" t="s">
        <v>1928</v>
      </c>
      <c r="U83" s="64" t="s">
        <v>1929</v>
      </c>
      <c r="V83" s="64" t="s">
        <v>1930</v>
      </c>
      <c r="W83" s="64" t="s">
        <v>1931</v>
      </c>
      <c r="X83" s="64" t="s">
        <v>1932</v>
      </c>
      <c r="Y83" s="64" t="s">
        <v>1933</v>
      </c>
      <c r="Z83" s="64" t="s">
        <v>1934</v>
      </c>
      <c r="AA83" s="74" t="str">
        <f t="shared" si="25"/>
        <v>203703</v>
      </c>
      <c r="AB83" s="74" t="s">
        <v>782</v>
      </c>
      <c r="AC83" s="64" t="s">
        <v>1935</v>
      </c>
      <c r="AD83" s="64" t="s">
        <v>1936</v>
      </c>
      <c r="AE83" s="64" t="s">
        <v>1937</v>
      </c>
      <c r="AF83" s="64" t="s">
        <v>1938</v>
      </c>
      <c r="AG83" s="64" t="s">
        <v>1939</v>
      </c>
      <c r="AH83" s="64" t="s">
        <v>1940</v>
      </c>
      <c r="AI83" s="64" t="s">
        <v>1941</v>
      </c>
      <c r="AJ83" s="74" t="str">
        <f t="shared" si="32"/>
        <v>203723</v>
      </c>
      <c r="AK83" s="74" t="s">
        <v>794</v>
      </c>
      <c r="AL83" s="64" t="s">
        <v>1942</v>
      </c>
      <c r="AM83" s="64" t="s">
        <v>1943</v>
      </c>
      <c r="AN83" s="64" t="s">
        <v>1944</v>
      </c>
      <c r="AO83" s="64" t="s">
        <v>1945</v>
      </c>
      <c r="AP83" s="64" t="s">
        <v>1946</v>
      </c>
      <c r="AQ83" s="64" t="s">
        <v>1947</v>
      </c>
      <c r="AR83" s="64" t="s">
        <v>1948</v>
      </c>
      <c r="AS83" s="74" t="str">
        <f t="shared" si="26"/>
        <v>203743</v>
      </c>
      <c r="AT83" s="74" t="s">
        <v>806</v>
      </c>
    </row>
    <row r="84" spans="1:138" ht="32.1" customHeight="1">
      <c r="A84" s="131"/>
      <c r="B84" s="96" t="str">
        <f>VLOOKUP("STK",Sprachindex!A:Z,Info!$O$6,FALSE)</f>
        <v>STK</v>
      </c>
      <c r="C84" s="95"/>
      <c r="D84" s="95">
        <f>IF($N$18=2,AJ84,IF($N$18=3,AS84,IF($N$18=4,BB84,IF($N$18=1,AA84,0))))</f>
        <v>0</v>
      </c>
      <c r="E84" s="250" t="str">
        <f>VLOOKUP("Rohrverbinder",Sprachindex!A:Z,Info!$O$6,FALSE)</f>
        <v>Rohrverbinder</v>
      </c>
      <c r="F84" s="251"/>
      <c r="G84" s="251"/>
      <c r="H84" s="251"/>
      <c r="I84" s="314"/>
      <c r="J84" s="307" t="str">
        <f>Formeln_RI_P.10!A268</f>
        <v/>
      </c>
      <c r="K84" s="308"/>
      <c r="L84" s="96" t="str">
        <f t="shared" si="4"/>
        <v xml:space="preserve"> </v>
      </c>
      <c r="M84" s="130"/>
      <c r="N84" s="87"/>
      <c r="O84" s="1"/>
      <c r="P84" s="191" t="e">
        <f>ROUNDUP($A84/R84,0)*R84 &amp; "  " &amp; Formeln_RI_P.10!$A$111</f>
        <v>#VALUE!</v>
      </c>
      <c r="Q84" s="191" t="str">
        <f>ROUNDUP($A84/S84,0)*S84 &amp; "  " &amp; Formeln_RI_P.10!$A$111</f>
        <v>0  STK</v>
      </c>
      <c r="R84" s="191" t="str">
        <f>IF($N$18="","",2)</f>
        <v/>
      </c>
      <c r="S84" s="191">
        <v>1</v>
      </c>
      <c r="T84" s="64" t="s">
        <v>1949</v>
      </c>
      <c r="U84" s="64" t="s">
        <v>1950</v>
      </c>
      <c r="V84" s="64" t="s">
        <v>1951</v>
      </c>
      <c r="W84" s="64" t="s">
        <v>1952</v>
      </c>
      <c r="X84" s="64" t="s">
        <v>1953</v>
      </c>
      <c r="Y84" s="64" t="s">
        <v>1954</v>
      </c>
      <c r="Z84" s="64" t="s">
        <v>1955</v>
      </c>
      <c r="AA84" s="74" t="str">
        <f t="shared" si="25"/>
        <v>202703</v>
      </c>
      <c r="AB84" s="74">
        <v>60</v>
      </c>
      <c r="AC84" s="64" t="s">
        <v>1956</v>
      </c>
      <c r="AD84" s="64" t="s">
        <v>1957</v>
      </c>
      <c r="AE84" s="64" t="s">
        <v>1958</v>
      </c>
      <c r="AF84" s="64" t="s">
        <v>1959</v>
      </c>
      <c r="AG84" s="64" t="s">
        <v>1960</v>
      </c>
      <c r="AH84" s="64" t="s">
        <v>1961</v>
      </c>
      <c r="AI84" s="64" t="s">
        <v>1962</v>
      </c>
      <c r="AJ84" s="74" t="str">
        <f t="shared" si="32"/>
        <v>202723</v>
      </c>
      <c r="AK84" s="74">
        <v>80</v>
      </c>
      <c r="AL84" s="64" t="s">
        <v>1963</v>
      </c>
      <c r="AM84" s="64" t="s">
        <v>1964</v>
      </c>
      <c r="AN84" s="64" t="s">
        <v>1965</v>
      </c>
      <c r="AO84" s="64" t="s">
        <v>1966</v>
      </c>
      <c r="AP84" s="64" t="s">
        <v>1967</v>
      </c>
      <c r="AQ84" s="64" t="s">
        <v>1968</v>
      </c>
      <c r="AR84" s="64" t="s">
        <v>1969</v>
      </c>
      <c r="AS84" s="74" t="str">
        <f t="shared" si="26"/>
        <v>202743</v>
      </c>
      <c r="AT84" s="74">
        <v>100</v>
      </c>
      <c r="AU84" s="64" t="s">
        <v>1970</v>
      </c>
      <c r="AV84" s="64" t="s">
        <v>1971</v>
      </c>
      <c r="AW84" s="64" t="s">
        <v>1972</v>
      </c>
      <c r="AX84" s="64" t="s">
        <v>1973</v>
      </c>
      <c r="AY84" s="64" t="s">
        <v>1974</v>
      </c>
      <c r="AZ84" s="64" t="s">
        <v>1975</v>
      </c>
      <c r="BA84" s="64" t="s">
        <v>1976</v>
      </c>
      <c r="BB84" s="74" t="str">
        <f t="shared" si="27"/>
        <v>202763</v>
      </c>
      <c r="BC84" s="74">
        <v>120</v>
      </c>
    </row>
    <row r="85" spans="1:138" ht="32.1" customHeight="1">
      <c r="A85" s="131"/>
      <c r="B85" s="96" t="str">
        <f>VLOOKUP("STK",Sprachindex!A:Z,Info!$O$6,FALSE)</f>
        <v>STK</v>
      </c>
      <c r="C85" s="95"/>
      <c r="D85" s="95"/>
      <c r="E85" s="250" t="str">
        <f>VLOOKUP("Rohrverbinder Stärke 1,6 mm",Sprachindex!A:Z,Info!$O$6,FALSE)</f>
        <v>Rohrverbinder Stärke 1,6 mm</v>
      </c>
      <c r="F85" s="251"/>
      <c r="G85" s="251"/>
      <c r="H85" s="251"/>
      <c r="I85" s="251"/>
      <c r="J85" s="307" t="str">
        <f>IF($N$18="","",IF($N$18=1,Formeln!$A$174,IF($N$18=2,Formeln!$A$174,IF($N$18=3,Formeln!$F$191,IF($N$18=4,Formeln!$A$174,IF($N$18=5,Formeln!$A$174,""))))))</f>
        <v/>
      </c>
      <c r="K85" s="308"/>
      <c r="L85" s="96" t="str">
        <f t="shared" ref="L85" si="33">IF(OR(A85="",R85="",S85="")," ",IF($N$11=1,$P85,IF($N$11=2,Q85,0)))</f>
        <v xml:space="preserve"> </v>
      </c>
      <c r="M85" s="130"/>
      <c r="N85" s="87"/>
      <c r="O85" s="1"/>
      <c r="P85" s="191" t="e">
        <f>ROUNDUP($A85/R85,0)*R85 &amp; "  " &amp; Formeln!$A$111</f>
        <v>#VALUE!</v>
      </c>
      <c r="Q85" s="191" t="str">
        <f>ROUNDUP($A85/S85,0)*S85 &amp; "  " &amp; Formeln!$A$111</f>
        <v>0  STK</v>
      </c>
      <c r="R85" s="191" t="str">
        <f>IF($N$25=3,1,"")</f>
        <v/>
      </c>
      <c r="S85" s="191">
        <v>1</v>
      </c>
      <c r="T85" s="64" t="s">
        <v>844</v>
      </c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71"/>
      <c r="AF85" s="74">
        <f t="shared" ref="AF85" si="34">IF($N$21=1,V85,IF($N$21=2,X85,IF($N$21=3,W85,IF($N$21=4,Z85,IF($N$21=5,AA85,IF($N$21=6,U85,IF($N$21=7,AB85,IF($N$21=8,AC85,IF($N$21=9,T85,0)))))))))</f>
        <v>0</v>
      </c>
      <c r="AG85" s="74"/>
    </row>
    <row r="86" spans="1:138" ht="32.1" customHeight="1">
      <c r="A86" s="131"/>
      <c r="B86" s="96" t="str">
        <f>VLOOKUP("STK",Sprachindex!A:Z,Info!$O$6,FALSE)</f>
        <v>STK</v>
      </c>
      <c r="C86" s="95"/>
      <c r="D86" s="95">
        <f>IF(J86=Formeln_RI_P.10!G185,AA86,IF(J86=Formeln_RI_P.10!G186,AJ86,0))</f>
        <v>0</v>
      </c>
      <c r="E86" s="250" t="str">
        <f>VLOOKUP("Schiebemuffe",Sprachindex!A:Z,Info!$O$6,FALSE)</f>
        <v>Schiebemuffe</v>
      </c>
      <c r="F86" s="251"/>
      <c r="G86" s="251"/>
      <c r="H86" s="251"/>
      <c r="I86" s="314"/>
      <c r="J86" s="301"/>
      <c r="K86" s="302"/>
      <c r="L86" s="96" t="str">
        <f>IF(OR(A86="",R86="",S86="")," ",IF($N$11=1,P86,IF($N$11=2,Q86,0)))</f>
        <v xml:space="preserve"> </v>
      </c>
      <c r="M86" s="130"/>
      <c r="N86" s="87"/>
      <c r="O86" s="1"/>
      <c r="P86" s="191" t="e">
        <f>ROUNDUP($A86/R86,0)*R86 &amp; "  " &amp; Formeln_RI_P.10!$A$111</f>
        <v>#VALUE!</v>
      </c>
      <c r="Q86" s="191" t="str">
        <f>ROUNDUP($A86/S86,0)*S86 &amp; "  " &amp; Formeln_RI_P.10!$A$111</f>
        <v>0  STK</v>
      </c>
      <c r="R86" s="191" t="str">
        <f>IF(J86=Formeln_RI_P.10!G185,2,IF('RI_P.10'!J86=Formeln_RI_P.10!G186,2,IF('RI_P.10'!J86=Formeln_RI_P.10!G187,1,IF('RI_P.10'!J86=Formeln_RI_P.10!G184,"",""))))</f>
        <v/>
      </c>
      <c r="S86" s="191">
        <v>1</v>
      </c>
      <c r="T86" s="64" t="s">
        <v>1977</v>
      </c>
      <c r="U86" s="64" t="s">
        <v>1978</v>
      </c>
      <c r="V86" s="64" t="s">
        <v>1979</v>
      </c>
      <c r="W86" s="64" t="s">
        <v>1980</v>
      </c>
      <c r="X86" s="64" t="s">
        <v>1981</v>
      </c>
      <c r="Y86" s="64" t="s">
        <v>1982</v>
      </c>
      <c r="Z86" s="64" t="s">
        <v>1983</v>
      </c>
      <c r="AA86" s="74" t="str">
        <f t="shared" si="25"/>
        <v>204203</v>
      </c>
      <c r="AB86" s="74">
        <v>80</v>
      </c>
      <c r="AC86" s="64" t="s">
        <v>1984</v>
      </c>
      <c r="AD86" s="64" t="s">
        <v>1985</v>
      </c>
      <c r="AE86" s="64" t="s">
        <v>1986</v>
      </c>
      <c r="AF86" s="64" t="s">
        <v>1987</v>
      </c>
      <c r="AG86" s="64" t="s">
        <v>1988</v>
      </c>
      <c r="AH86" s="64" t="s">
        <v>1989</v>
      </c>
      <c r="AI86" s="64" t="s">
        <v>1990</v>
      </c>
      <c r="AJ86" s="74" t="str">
        <f t="shared" si="32"/>
        <v>204223</v>
      </c>
      <c r="AK86" s="74">
        <v>100</v>
      </c>
      <c r="AL86" s="64"/>
      <c r="AM86" s="64"/>
      <c r="AN86" s="64"/>
      <c r="AO86" s="64"/>
      <c r="AP86" s="64"/>
      <c r="AQ86" s="64"/>
      <c r="AR86" s="64"/>
      <c r="AS86" s="74">
        <f t="shared" ref="AS86:AS90" si="35">IF($N$16=1,AL86,IF($N$16=2,AM86,IF($N$16=3,AO86,0)))</f>
        <v>0</v>
      </c>
      <c r="AT86" s="74">
        <v>120</v>
      </c>
      <c r="AU86" s="64"/>
      <c r="AV86" s="64"/>
      <c r="AW86" s="64"/>
      <c r="AX86" s="64"/>
      <c r="AY86" s="64"/>
      <c r="AZ86" s="64"/>
      <c r="BA86" s="64"/>
      <c r="BB86" s="74">
        <f>IF($N$16=1,AU86,IF($N$16=2,AV86,IF($N$16=3,AX86,0)))</f>
        <v>0</v>
      </c>
      <c r="BC86" s="168"/>
    </row>
    <row r="87" spans="1:138" ht="32.1" customHeight="1">
      <c r="A87" s="131"/>
      <c r="B87" s="96" t="s">
        <v>28</v>
      </c>
      <c r="C87" s="95"/>
      <c r="D87" s="95"/>
      <c r="E87" s="250" t="str">
        <f>VLOOKUP("Rohrübergang",Sprachindex!A:Z,Info!$O$6,FALSE)</f>
        <v>Rohrübergang</v>
      </c>
      <c r="F87" s="251"/>
      <c r="G87" s="251"/>
      <c r="H87" s="251"/>
      <c r="I87" s="314"/>
      <c r="J87" s="301"/>
      <c r="K87" s="302"/>
      <c r="L87" s="96" t="str">
        <f>IF(OR(A87="",R87="",S87="")," ",IF($N$11=1,P87,IF($N$11=2,Q87,0)))</f>
        <v xml:space="preserve"> </v>
      </c>
      <c r="M87" s="130"/>
      <c r="N87" s="87"/>
      <c r="O87" s="1"/>
      <c r="P87" s="191" t="e">
        <f>ROUNDUP($A87/R87,0)*R87 &amp; "  " &amp; Formeln_RI_P.10!$A$111</f>
        <v>#VALUE!</v>
      </c>
      <c r="Q87" s="191" t="str">
        <f>ROUNDUP($A87/S87,0)*S87 &amp; "  " &amp; Formeln_RI_P.10!$A$111</f>
        <v>0  STK</v>
      </c>
      <c r="R87" s="191" t="str">
        <f>IF(J87=Formeln_RI_P.10!A299,1,IF('RI_P.10'!J87=Formeln_RI_P.10!A300,1,""))</f>
        <v/>
      </c>
      <c r="S87" s="191">
        <v>1</v>
      </c>
      <c r="T87" s="64"/>
      <c r="U87" s="64"/>
      <c r="V87" s="64"/>
      <c r="W87" s="64"/>
      <c r="X87" s="64"/>
      <c r="Y87" s="64"/>
      <c r="Z87" s="64"/>
      <c r="AA87" s="74">
        <f t="shared" si="25"/>
        <v>0</v>
      </c>
      <c r="AB87" s="74"/>
      <c r="AC87" s="64"/>
      <c r="AD87" s="64"/>
      <c r="AE87" s="64"/>
      <c r="AF87" s="64"/>
      <c r="AG87" s="64"/>
      <c r="AH87" s="64"/>
      <c r="AI87" s="64"/>
      <c r="AJ87" s="74">
        <f t="shared" si="32"/>
        <v>0</v>
      </c>
      <c r="AK87" s="74"/>
      <c r="AL87" s="64"/>
      <c r="AM87" s="64"/>
      <c r="AN87" s="64"/>
      <c r="AO87" s="64"/>
      <c r="AP87" s="64"/>
      <c r="AQ87" s="64"/>
      <c r="AR87" s="64"/>
      <c r="AS87" s="74">
        <f t="shared" ref="AS87" si="36">IF($N$16=1,AL87,IF($N$16=2,AM87,IF($N$16=3,AN87,IF($N$16=4,AO87,IF($N$16=5,AP87,IF($N$16=6,AQ87,IF($N$16=7,AR87,0)))))))</f>
        <v>0</v>
      </c>
      <c r="AT87" s="74"/>
      <c r="AU87" s="64"/>
      <c r="AV87" s="64"/>
      <c r="AW87" s="64"/>
      <c r="AX87" s="64"/>
      <c r="AY87" s="64"/>
      <c r="AZ87" s="64"/>
      <c r="BA87" s="64"/>
      <c r="BB87" s="168"/>
      <c r="BC87" s="168"/>
    </row>
    <row r="88" spans="1:138" ht="32.1" customHeight="1">
      <c r="A88" s="131"/>
      <c r="B88" s="96" t="str">
        <f>VLOOKUP("STK",Sprachindex!A:Z,Info!$O$6,FALSE)</f>
        <v>STK</v>
      </c>
      <c r="C88" s="95"/>
      <c r="D88" s="95">
        <f>IF($N$18=2,AA88,IF($N$18=3,AJ88,IF($N$18=4,AS88,IF($N$18=5,BB88,0))))</f>
        <v>0</v>
      </c>
      <c r="E88" s="250" t="str">
        <f>VLOOKUP("Rohrschelle für Standrohr",Sprachindex!A:Z,Info!$O$6,FALSE)</f>
        <v>Rohrschelle für Standrohr</v>
      </c>
      <c r="F88" s="251"/>
      <c r="G88" s="251"/>
      <c r="H88" s="251"/>
      <c r="I88" s="251"/>
      <c r="J88" s="307" t="str">
        <f>Formeln_RI_P.10!A231</f>
        <v/>
      </c>
      <c r="K88" s="308"/>
      <c r="L88" s="96" t="str">
        <f t="shared" si="4"/>
        <v xml:space="preserve"> </v>
      </c>
      <c r="M88" s="130"/>
      <c r="N88" s="87"/>
      <c r="O88" s="1"/>
      <c r="P88" s="191" t="e">
        <f>ROUNDUP($A88/R88,0)*R88 &amp; "  " &amp; Formeln_RI_P.10!$A$111</f>
        <v>#VALUE!</v>
      </c>
      <c r="Q88" s="191" t="str">
        <f>ROUNDUP($A88/S88,0)*S88 &amp; "  " &amp; Formeln_RI_P.10!$A$111</f>
        <v>0  STK</v>
      </c>
      <c r="R88" s="191" t="str">
        <f>IF($N$18=2,15,IF($N$18=3,15,IF($N$18=4,15,"")))</f>
        <v/>
      </c>
      <c r="S88" s="191">
        <v>2</v>
      </c>
      <c r="T88" s="64" t="s">
        <v>1991</v>
      </c>
      <c r="U88" s="64" t="s">
        <v>1992</v>
      </c>
      <c r="V88" s="64" t="s">
        <v>1993</v>
      </c>
      <c r="W88" s="64" t="s">
        <v>1994</v>
      </c>
      <c r="X88" s="64" t="s">
        <v>1995</v>
      </c>
      <c r="Y88" s="64" t="s">
        <v>1996</v>
      </c>
      <c r="Z88" s="64" t="s">
        <v>1997</v>
      </c>
      <c r="AA88" s="74" t="str">
        <f t="shared" si="25"/>
        <v>203803</v>
      </c>
      <c r="AB88" s="74">
        <v>80</v>
      </c>
      <c r="AC88" s="64" t="s">
        <v>1998</v>
      </c>
      <c r="AD88" s="64" t="s">
        <v>1999</v>
      </c>
      <c r="AE88" s="64" t="s">
        <v>1993</v>
      </c>
      <c r="AF88" s="64" t="s">
        <v>2000</v>
      </c>
      <c r="AG88" s="64" t="s">
        <v>2001</v>
      </c>
      <c r="AH88" s="64" t="s">
        <v>2002</v>
      </c>
      <c r="AI88" s="64" t="s">
        <v>2003</v>
      </c>
      <c r="AJ88" s="74" t="str">
        <f t="shared" si="32"/>
        <v>203823</v>
      </c>
      <c r="AK88" s="74">
        <v>100</v>
      </c>
      <c r="AL88" s="64" t="s">
        <v>2004</v>
      </c>
      <c r="AM88" s="64" t="s">
        <v>2005</v>
      </c>
      <c r="AN88" s="64" t="s">
        <v>2006</v>
      </c>
      <c r="AO88" s="64" t="s">
        <v>2007</v>
      </c>
      <c r="AP88" s="64" t="s">
        <v>2008</v>
      </c>
      <c r="AQ88" s="64" t="s">
        <v>2009</v>
      </c>
      <c r="AR88" s="64" t="s">
        <v>2010</v>
      </c>
      <c r="AS88" s="74" t="str">
        <f t="shared" si="26"/>
        <v>203843</v>
      </c>
      <c r="AT88" s="74">
        <v>120</v>
      </c>
    </row>
    <row r="89" spans="1:138" ht="32.1" customHeight="1">
      <c r="A89" s="131"/>
      <c r="B89" s="96" t="str">
        <f>VLOOKUP("STK",Sprachindex!A:Z,Info!$O$6,FALSE)</f>
        <v>STK</v>
      </c>
      <c r="C89" s="95"/>
      <c r="D89" s="95">
        <f>IF($N$18=2,AA89,IF($N$18=3,AJ89,IF($N$18=4,AS89,IF($N$18=5,BB89,0))))</f>
        <v>0</v>
      </c>
      <c r="E89" s="250" t="str">
        <f>VLOOKUP("Wasserfangkasten",Sprachindex!A:Z,Info!$O$6,FALSE)</f>
        <v>Wasserfangkasten</v>
      </c>
      <c r="F89" s="251"/>
      <c r="G89" s="251"/>
      <c r="H89" s="251"/>
      <c r="I89" s="251"/>
      <c r="J89" s="307" t="str">
        <f>Formeln_RI_P.10!A222</f>
        <v/>
      </c>
      <c r="K89" s="308"/>
      <c r="L89" s="96" t="str">
        <f t="shared" si="4"/>
        <v xml:space="preserve"> </v>
      </c>
      <c r="M89" s="130"/>
      <c r="N89" s="87"/>
      <c r="O89" s="1"/>
      <c r="P89" s="191" t="e">
        <f>ROUNDUP($A89/R89,0)*R89 &amp; "  " &amp; Formeln_RI_P.10!$A$111</f>
        <v>#VALUE!</v>
      </c>
      <c r="Q89" s="191" t="str">
        <f>ROUNDUP($A89/S89,0)*S89 &amp; "  " &amp; Formeln_RI_P.10!$A$111</f>
        <v>0  STK</v>
      </c>
      <c r="R89" s="191" t="str">
        <f>IF($N$18=2,1,IF($N$18=3,1,IF($N$18=4,1,"")))</f>
        <v/>
      </c>
      <c r="S89" s="191">
        <v>1</v>
      </c>
      <c r="T89" s="64" t="s">
        <v>2011</v>
      </c>
      <c r="U89" s="64" t="s">
        <v>2012</v>
      </c>
      <c r="V89" s="64" t="s">
        <v>2013</v>
      </c>
      <c r="W89" s="64" t="s">
        <v>2014</v>
      </c>
      <c r="X89" s="64" t="s">
        <v>2015</v>
      </c>
      <c r="Y89" s="64" t="s">
        <v>2016</v>
      </c>
      <c r="Z89" s="64" t="s">
        <v>2017</v>
      </c>
      <c r="AA89" s="74" t="str">
        <f t="shared" si="25"/>
        <v>201123</v>
      </c>
      <c r="AB89" s="74">
        <v>80</v>
      </c>
      <c r="AC89" s="64" t="s">
        <v>2018</v>
      </c>
      <c r="AD89" s="64" t="s">
        <v>2019</v>
      </c>
      <c r="AE89" s="64" t="s">
        <v>2020</v>
      </c>
      <c r="AF89" s="64" t="s">
        <v>2021</v>
      </c>
      <c r="AG89" s="64" t="s">
        <v>2022</v>
      </c>
      <c r="AH89" s="64" t="s">
        <v>2023</v>
      </c>
      <c r="AI89" s="64" t="s">
        <v>2024</v>
      </c>
      <c r="AJ89" s="74" t="str">
        <f t="shared" si="32"/>
        <v>201143</v>
      </c>
      <c r="AK89" s="74">
        <v>100</v>
      </c>
      <c r="AL89" s="64" t="s">
        <v>2025</v>
      </c>
      <c r="AM89" s="64" t="s">
        <v>2026</v>
      </c>
      <c r="AN89" s="64" t="s">
        <v>2027</v>
      </c>
      <c r="AO89" s="64" t="s">
        <v>2028</v>
      </c>
      <c r="AP89" s="64" t="s">
        <v>2029</v>
      </c>
      <c r="AQ89" s="64" t="s">
        <v>2030</v>
      </c>
      <c r="AR89" s="64" t="s">
        <v>2031</v>
      </c>
      <c r="AS89" s="74" t="str">
        <f t="shared" si="26"/>
        <v>201163</v>
      </c>
      <c r="AT89" s="74">
        <v>120</v>
      </c>
      <c r="AU89" s="64"/>
      <c r="AV89" s="64"/>
      <c r="AW89" s="64"/>
      <c r="AX89" s="64"/>
      <c r="AY89" s="64"/>
      <c r="AZ89" s="64"/>
      <c r="BA89" s="64"/>
      <c r="BB89" s="74"/>
      <c r="BC89" s="74">
        <v>150</v>
      </c>
    </row>
    <row r="90" spans="1:138" ht="32.1" customHeight="1">
      <c r="A90" s="227"/>
      <c r="B90" s="96" t="str">
        <f>VLOOKUP("STK",Sprachindex!A:Z,Info!$O$6,FALSE)</f>
        <v>STK</v>
      </c>
      <c r="C90" s="95"/>
      <c r="D90" s="95" t="str">
        <f>AA90</f>
        <v>201443</v>
      </c>
      <c r="E90" s="250" t="str">
        <f>VLOOKUP("Wasserfangkasten Rund",Sprachindex!A:Z,Info!$O$6,FALSE)</f>
        <v>Wasserfangkasten Rund</v>
      </c>
      <c r="F90" s="251"/>
      <c r="G90" s="251"/>
      <c r="H90" s="251"/>
      <c r="I90" s="251"/>
      <c r="J90" s="307" t="str">
        <f>IF($N$18="","",IF(N18=3,Formeln_RI_P.10!F186,Formeln_RI_P.10!A169))</f>
        <v/>
      </c>
      <c r="K90" s="308"/>
      <c r="L90" s="96" t="str">
        <f t="shared" si="4"/>
        <v xml:space="preserve"> </v>
      </c>
      <c r="M90" s="130"/>
      <c r="N90" s="87"/>
      <c r="O90" s="1"/>
      <c r="P90" s="191" t="e">
        <f>ROUNDUP($A90/R90,0)*R90 &amp; "  " &amp; Formeln_RI_P.10!$A$111</f>
        <v>#VALUE!</v>
      </c>
      <c r="Q90" s="191" t="str">
        <f>ROUNDUP($A90/S90,0)*S90 &amp; "  " &amp; Formeln_RI_P.10!$A$111</f>
        <v>0  STK</v>
      </c>
      <c r="R90" s="191" t="str">
        <f>IF($N$18=3,1,"")</f>
        <v/>
      </c>
      <c r="S90" s="191">
        <v>1</v>
      </c>
      <c r="T90" s="64" t="s">
        <v>2032</v>
      </c>
      <c r="U90" s="64" t="s">
        <v>2033</v>
      </c>
      <c r="V90" s="64" t="s">
        <v>2034</v>
      </c>
      <c r="W90" s="64" t="s">
        <v>2035</v>
      </c>
      <c r="X90" s="64" t="s">
        <v>2036</v>
      </c>
      <c r="Y90" s="64" t="s">
        <v>2037</v>
      </c>
      <c r="Z90" s="64" t="s">
        <v>2038</v>
      </c>
      <c r="AA90" s="74" t="str">
        <f t="shared" si="25"/>
        <v>201443</v>
      </c>
      <c r="AB90" s="74"/>
      <c r="AC90" s="64"/>
      <c r="AD90" s="64"/>
      <c r="AE90" s="64"/>
      <c r="AF90" s="64"/>
      <c r="AG90" s="64"/>
      <c r="AH90" s="64"/>
      <c r="AI90" s="64"/>
      <c r="AJ90" s="74">
        <f t="shared" ref="AJ90" si="37">IF($N$16=1,AC90,IF($N$16=2,AD90,IF($N$16=3,AF90,0)))</f>
        <v>0</v>
      </c>
      <c r="AK90" s="168"/>
      <c r="AL90" s="64"/>
      <c r="AM90" s="64"/>
      <c r="AN90" s="64"/>
      <c r="AO90" s="64"/>
      <c r="AP90" s="64"/>
      <c r="AQ90" s="64"/>
      <c r="AR90" s="64"/>
      <c r="AS90" s="74">
        <f t="shared" si="35"/>
        <v>0</v>
      </c>
      <c r="AT90" s="168"/>
      <c r="AU90" s="64"/>
      <c r="AV90" s="64"/>
      <c r="AW90" s="64"/>
      <c r="AX90" s="64"/>
      <c r="AY90" s="64"/>
      <c r="AZ90" s="64"/>
      <c r="BA90" s="64"/>
      <c r="BB90" s="74">
        <f>IF($N$16=1,AU90,IF($N$16=2,AV90,IF($N$16=3,AX90,0)))</f>
        <v>0</v>
      </c>
      <c r="BC90" s="168"/>
    </row>
    <row r="91" spans="1:138" ht="32.1" customHeight="1">
      <c r="A91" s="131"/>
      <c r="B91" s="96" t="str">
        <f>VLOOKUP("STK",Sprachindex!A:Z,Info!$O$6,FALSE)</f>
        <v>STK</v>
      </c>
      <c r="C91" s="95"/>
      <c r="D91" s="95">
        <f>IF($N$18=3,AA91,IF($N$18=4,AJ91,0))</f>
        <v>0</v>
      </c>
      <c r="E91" s="250" t="str">
        <f>VLOOKUP("Speiereinmündung",Sprachindex!A:Z,Info!$O$6,FALSE)</f>
        <v>Speiereinmündung</v>
      </c>
      <c r="F91" s="251"/>
      <c r="G91" s="251"/>
      <c r="H91" s="251"/>
      <c r="I91" s="251"/>
      <c r="J91" s="307" t="str">
        <f>IF(N18=0,"",IF(N18=3,Formeln_RI_P.10!F186,IF(N18=4,Formeln_RI_P.10!F187,IF(N18=2,Formeln_RI_P.10!F185,Formeln_RI_P.10!A169))))</f>
        <v/>
      </c>
      <c r="K91" s="308"/>
      <c r="L91" s="96" t="str">
        <f t="shared" si="4"/>
        <v xml:space="preserve"> </v>
      </c>
      <c r="M91" s="130"/>
      <c r="N91" s="87"/>
      <c r="O91" s="1"/>
      <c r="P91" s="191" t="e">
        <f>ROUNDUP($A91/R91,0)*R91 &amp; "  " &amp; Formeln_RI_P.10!$A$111</f>
        <v>#VALUE!</v>
      </c>
      <c r="Q91" s="191" t="str">
        <f>ROUNDUP($A91/S91,0)*S91 &amp; "  " &amp; Formeln_RI_P.10!$A$111</f>
        <v>0  STK</v>
      </c>
      <c r="R91" s="191" t="str">
        <f>IF($N$18=2,1,IF($N$18=3,1,IF($N$18=4,1,"")))</f>
        <v/>
      </c>
      <c r="S91" s="191">
        <v>1</v>
      </c>
      <c r="T91" s="64" t="s">
        <v>2039</v>
      </c>
      <c r="U91" s="64" t="s">
        <v>2040</v>
      </c>
      <c r="V91" s="64" t="s">
        <v>2041</v>
      </c>
      <c r="W91" s="64" t="s">
        <v>2042</v>
      </c>
      <c r="X91" s="64" t="s">
        <v>2043</v>
      </c>
      <c r="Y91" s="64" t="s">
        <v>2043</v>
      </c>
      <c r="Z91" s="64" t="s">
        <v>2044</v>
      </c>
      <c r="AA91" s="74" t="str">
        <f t="shared" si="25"/>
        <v>201243</v>
      </c>
      <c r="AB91" s="74">
        <v>100</v>
      </c>
      <c r="AC91" s="64" t="s">
        <v>2045</v>
      </c>
      <c r="AD91" s="64" t="s">
        <v>2046</v>
      </c>
      <c r="AE91" s="64" t="s">
        <v>2047</v>
      </c>
      <c r="AF91" s="64" t="s">
        <v>2048</v>
      </c>
      <c r="AG91" s="64" t="s">
        <v>2049</v>
      </c>
      <c r="AH91" s="64" t="s">
        <v>2050</v>
      </c>
      <c r="AI91" s="64" t="s">
        <v>2051</v>
      </c>
      <c r="AJ91" s="74" t="str">
        <f>IF($N$16=1,AC91,IF($N$16=2,AD91,IF($N$16=3,AE91,IF($N$16=4,AF91,IF($N$16=5,AG91,IF($N$16=6,AH91,IF($N$16=7,AI91,0)))))))</f>
        <v>201263</v>
      </c>
      <c r="AK91" s="74">
        <v>120</v>
      </c>
      <c r="DC91" s="49" t="s">
        <v>48</v>
      </c>
      <c r="DD91" s="49" t="s">
        <v>79</v>
      </c>
      <c r="DE91" s="49" t="s">
        <v>74</v>
      </c>
      <c r="DF91" s="49" t="s">
        <v>77</v>
      </c>
      <c r="DG91" s="49" t="s">
        <v>75</v>
      </c>
      <c r="DH91" s="49" t="s">
        <v>84</v>
      </c>
      <c r="DI91" s="49" t="s">
        <v>78</v>
      </c>
      <c r="DJ91" s="49" t="s">
        <v>82</v>
      </c>
      <c r="DK91" s="49" t="s">
        <v>83</v>
      </c>
      <c r="DL91" s="49" t="s">
        <v>370</v>
      </c>
      <c r="DM91" s="49" t="s">
        <v>81</v>
      </c>
      <c r="DN91" s="49" t="s">
        <v>76</v>
      </c>
      <c r="DO91" s="49" t="s">
        <v>2052</v>
      </c>
      <c r="DP91" s="49"/>
      <c r="DQ91" s="74"/>
      <c r="DR91" s="74" t="s">
        <v>27</v>
      </c>
      <c r="DS91" s="49" t="s">
        <v>48</v>
      </c>
      <c r="DT91" s="49" t="s">
        <v>79</v>
      </c>
      <c r="DU91" s="49" t="s">
        <v>74</v>
      </c>
      <c r="DV91" s="49" t="s">
        <v>77</v>
      </c>
      <c r="DW91" s="49" t="s">
        <v>75</v>
      </c>
      <c r="DX91" s="49" t="s">
        <v>84</v>
      </c>
      <c r="DY91" s="49" t="s">
        <v>78</v>
      </c>
      <c r="DZ91" s="49" t="s">
        <v>82</v>
      </c>
      <c r="EA91" s="49" t="s">
        <v>83</v>
      </c>
      <c r="EB91" s="49" t="s">
        <v>370</v>
      </c>
      <c r="EC91" s="49" t="s">
        <v>81</v>
      </c>
      <c r="ED91" s="49" t="s">
        <v>76</v>
      </c>
      <c r="EE91" s="49" t="s">
        <v>2052</v>
      </c>
      <c r="EF91" s="49"/>
      <c r="EG91" s="74"/>
      <c r="EH91" s="74"/>
    </row>
    <row r="92" spans="1:138" ht="32.1" customHeight="1">
      <c r="A92" s="131"/>
      <c r="B92" s="96" t="str">
        <f>VLOOKUP("STK",Sprachindex!A:Z,Info!$O$6,FALSE)</f>
        <v>STK</v>
      </c>
      <c r="C92" s="95"/>
      <c r="D92" s="95" t="str">
        <f>AA92</f>
        <v>533027</v>
      </c>
      <c r="E92" s="250" t="str">
        <f>VLOOKUP("Patentniete",Sprachindex!A:Z,Info!$O$6,FALSE)</f>
        <v>Patentniete</v>
      </c>
      <c r="F92" s="251"/>
      <c r="G92" s="251"/>
      <c r="H92" s="251"/>
      <c r="I92" s="251"/>
      <c r="J92" s="301" t="s">
        <v>2053</v>
      </c>
      <c r="K92" s="302"/>
      <c r="L92" s="96" t="str">
        <f>IF(OR(A92="",R92="",S92="",J92="",H92="")," ",IF($N$11=1,P92,IF($N$11=2,Q92,0)))</f>
        <v xml:space="preserve"> </v>
      </c>
      <c r="M92" s="130"/>
      <c r="N92" s="87"/>
      <c r="O92" s="1"/>
      <c r="P92" s="191" t="str">
        <f>ROUNDUP($A92/R92,0)*R92 &amp; "  " &amp; Formeln_RI_P.10!$A$111</f>
        <v>0  STK</v>
      </c>
      <c r="Q92" s="191" t="str">
        <f>ROUNDUP($A92/S92,0)*S92 &amp; "  " &amp; Formeln_RI_P.10!$A$111</f>
        <v>0  STK</v>
      </c>
      <c r="R92" s="191">
        <f>IF($J92=Formeln_RI_P.10!$A$259,1000,IF($J92=Formeln_RI_P.10!$A$260,500,""))</f>
        <v>1000</v>
      </c>
      <c r="S92" s="191">
        <v>1</v>
      </c>
      <c r="T92" s="64" t="s">
        <v>2054</v>
      </c>
      <c r="U92" s="64" t="s">
        <v>2055</v>
      </c>
      <c r="V92" s="64" t="s">
        <v>2056</v>
      </c>
      <c r="W92" s="64" t="s">
        <v>2057</v>
      </c>
      <c r="X92" s="64" t="s">
        <v>2058</v>
      </c>
      <c r="Y92" s="64" t="s">
        <v>2059</v>
      </c>
      <c r="Z92" s="64" t="s">
        <v>2060</v>
      </c>
      <c r="AA92" s="74" t="str">
        <f t="shared" si="25"/>
        <v>533027</v>
      </c>
      <c r="DC92" s="64" t="s">
        <v>945</v>
      </c>
      <c r="DD92" s="64" t="s">
        <v>946</v>
      </c>
      <c r="DE92" s="64" t="s">
        <v>947</v>
      </c>
      <c r="DF92" s="64" t="s">
        <v>948</v>
      </c>
      <c r="DG92" s="64" t="s">
        <v>949</v>
      </c>
      <c r="DH92" s="64" t="s">
        <v>950</v>
      </c>
      <c r="DI92" s="64" t="s">
        <v>951</v>
      </c>
      <c r="DJ92" s="64" t="s">
        <v>952</v>
      </c>
      <c r="DK92" s="64" t="s">
        <v>953</v>
      </c>
      <c r="DL92" s="64" t="s">
        <v>954</v>
      </c>
      <c r="DM92" s="64" t="s">
        <v>955</v>
      </c>
      <c r="DN92" s="64">
        <v>533011</v>
      </c>
      <c r="DO92" s="64" t="s">
        <v>2061</v>
      </c>
      <c r="DP92" s="74" t="str">
        <f>IF($H92=Formeln_RI_P.10!$A$280,$DE92,IF($H92=Formeln_RI_P.10!$A$281,$DG92,IF($H92=Formeln_RI_P.10!$A$282,$DD92,IF($H92=Formeln_RI_P.10!$A$283,$DN92,IF($H92=Formeln_RI_P.10!$A$284,$DF92,IF($H92=Formeln_RI_P.10!$A$285,$DI92,IF($H92=Formeln_RI_P.10!$A$286,$DJ92,IF($H92=Formeln_RI_P.10!$A$287,$DK92,IF($H92=Formeln_RI_P.10!$A$288,$DH$92,IF($H92=Formeln_RI_P.10!$A$289,$DM92,IF($H92=Formeln_RI_P.10!$A$290,$DL92,IF($H92=Formeln_RI_P.10!$A$291,$DC92,IF($H92=Formeln_RI_P.10!$A$292,$DO92,"")))))))))))))</f>
        <v xml:space="preserve">533014  </v>
      </c>
      <c r="DQ92" s="74" t="s">
        <v>956</v>
      </c>
      <c r="DR92" s="210">
        <v>1000</v>
      </c>
      <c r="DS92" s="64" t="s">
        <v>957</v>
      </c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6" t="str">
        <f>DS92</f>
        <v xml:space="preserve">533002  </v>
      </c>
      <c r="EG92" s="74" t="s">
        <v>958</v>
      </c>
      <c r="EH92" s="74">
        <v>500</v>
      </c>
    </row>
    <row r="93" spans="1:138" ht="32.1" customHeight="1">
      <c r="A93" s="131"/>
      <c r="B93" s="96" t="str">
        <f>VLOOKUP("lfm",Sprachindex!A:Z,Info!$O$6,FALSE)</f>
        <v>lfm</v>
      </c>
      <c r="C93" s="95"/>
      <c r="D93" s="95" t="str">
        <f>AA93</f>
        <v>204043</v>
      </c>
      <c r="E93" s="250" t="str">
        <f>VLOOKUP("Ablaufkette",Sprachindex!A:Z,Info!$O$6,FALSE)</f>
        <v>Ablaufkette</v>
      </c>
      <c r="F93" s="251"/>
      <c r="G93" s="251"/>
      <c r="H93" s="251"/>
      <c r="I93" s="251"/>
      <c r="J93" s="307"/>
      <c r="K93" s="308"/>
      <c r="L93" s="96" t="str">
        <f>IF(OR(A93="",R93="",S93="",H93="")," ",IF($N$11=1,P93,IF($N$11=2,Q93,0)))</f>
        <v xml:space="preserve"> </v>
      </c>
      <c r="M93" s="130"/>
      <c r="N93" s="87"/>
      <c r="O93" s="1"/>
      <c r="P93" s="191" t="str">
        <f>ROUNDUP($A93/R93,0)*R93 &amp; "  " &amp; Formeln_RI_P.10!$A$112</f>
        <v>0  lfm</v>
      </c>
      <c r="Q93" s="191" t="str">
        <f>ROUNDUP($A93/S93,0)*S93 &amp; "  " &amp; Formeln_RI_P.10!$A$112</f>
        <v>0  lfm</v>
      </c>
      <c r="R93" s="191">
        <v>1</v>
      </c>
      <c r="S93" s="191">
        <v>1</v>
      </c>
      <c r="T93" s="64" t="s">
        <v>2062</v>
      </c>
      <c r="U93" s="64" t="s">
        <v>2063</v>
      </c>
      <c r="V93" s="64" t="s">
        <v>2064</v>
      </c>
      <c r="W93" s="64" t="s">
        <v>2065</v>
      </c>
      <c r="X93" s="64" t="s">
        <v>2066</v>
      </c>
      <c r="Y93" s="64" t="s">
        <v>2067</v>
      </c>
      <c r="Z93" s="64" t="s">
        <v>2068</v>
      </c>
      <c r="AA93" s="74" t="str">
        <f t="shared" ref="AA93:AA94" si="38">IF($N$16=1,T93,IF($N$16=2,U93,IF($N$16=3,V93,IF($N$16=4,W93,IF($N$16=5,X93,IF($N$16=6,Y93,IF($N$16=7,Z93,0)))))))</f>
        <v>204043</v>
      </c>
      <c r="DC93" s="64" t="s">
        <v>2069</v>
      </c>
      <c r="DD93" s="64" t="s">
        <v>2070</v>
      </c>
      <c r="DE93" s="64" t="s">
        <v>2071</v>
      </c>
      <c r="DF93" s="64" t="s">
        <v>2072</v>
      </c>
      <c r="DG93" s="64" t="s">
        <v>2073</v>
      </c>
      <c r="DH93" s="64" t="s">
        <v>2074</v>
      </c>
      <c r="DI93" s="64" t="s">
        <v>2075</v>
      </c>
      <c r="DJ93" s="64" t="s">
        <v>2076</v>
      </c>
      <c r="DK93" s="64" t="s">
        <v>2077</v>
      </c>
      <c r="DL93" s="64" t="s">
        <v>2078</v>
      </c>
      <c r="DM93" s="64" t="s">
        <v>2079</v>
      </c>
      <c r="DN93" s="64" t="s">
        <v>2080</v>
      </c>
      <c r="DO93" s="64" t="s">
        <v>2068</v>
      </c>
      <c r="DP93" s="74" t="str">
        <f>IF($H93=Formeln_RI_P.10!$A$280,$DE93,IF($H93=Formeln_RI_P.10!$A$281,$DG93,IF($H93=Formeln_RI_P.10!$A$282,$DD93,IF($H93=Formeln_RI_P.10!$A$283,$DN93,IF($H93=Formeln_RI_P.10!$A$284,$DF93,IF($H93=Formeln_RI_P.10!$A$285,$DI93,IF($H93=Formeln_RI_P.10!$A$286,$DJ93,IF($H93=Formeln_RI_P.10!$A$287,$DK93,IF($H93=Formeln_RI_P.10!$A$288,$DH$93,IF($H93=Formeln_RI_P.10!$A$289,$DM93,IF($H93=Formeln_RI_P.10!$A$290,$DL93,IF($H93=Formeln_RI_P.10!$A$291,$DC93,IF($H93=Formeln_RI_P.10!$A$292,$DO93,"")))))))))))))</f>
        <v>667009</v>
      </c>
      <c r="DQ93" s="74"/>
      <c r="DR93" s="74"/>
    </row>
    <row r="94" spans="1:138" ht="32.1" customHeight="1">
      <c r="A94" s="131"/>
      <c r="B94" s="96" t="str">
        <f>VLOOKUP("STK",Sprachindex!A:Z,Info!$O$6,FALSE)</f>
        <v>STK</v>
      </c>
      <c r="C94" s="95"/>
      <c r="D94" s="95" t="str">
        <f>AA94</f>
        <v>430024</v>
      </c>
      <c r="E94" s="250" t="str">
        <f>VLOOKUP("Hydrolack",Sprachindex!A:Z,Info!$O$6,FALSE)</f>
        <v>Hydrolack</v>
      </c>
      <c r="F94" s="251"/>
      <c r="G94" s="251"/>
      <c r="H94" s="251"/>
      <c r="I94" s="251"/>
      <c r="J94" s="301" t="s">
        <v>2081</v>
      </c>
      <c r="K94" s="302"/>
      <c r="L94" s="96" t="str">
        <f>IF(OR(A94="",R94="",S94="",H94="")," ",IF($N$11=1,P94,IF($N$11=2,Q94,0)))</f>
        <v xml:space="preserve"> </v>
      </c>
      <c r="M94" s="130"/>
      <c r="N94" s="87"/>
      <c r="O94" s="1"/>
      <c r="P94" s="191" t="str">
        <f>ROUNDUP($A94/R94,0)*R94 &amp; "  " &amp; Formeln_RI_P.10!$A$111</f>
        <v>0  STK</v>
      </c>
      <c r="Q94" s="191" t="str">
        <f>ROUNDUP($A94/S94,0)*S94 &amp; "  " &amp; Formeln_RI_P.10!$A$111</f>
        <v>0  STK</v>
      </c>
      <c r="R94" s="191">
        <f>IF(J94=Formeln_RI_P.10!A264,6,IF(J94=Formeln_RI_P.10!A265,1,""))</f>
        <v>6</v>
      </c>
      <c r="S94" s="191">
        <v>1</v>
      </c>
      <c r="T94" s="64" t="s">
        <v>2082</v>
      </c>
      <c r="U94" s="64" t="s">
        <v>2083</v>
      </c>
      <c r="V94" s="64" t="s">
        <v>2084</v>
      </c>
      <c r="W94" s="64" t="s">
        <v>2085</v>
      </c>
      <c r="X94" s="64" t="s">
        <v>2086</v>
      </c>
      <c r="Y94" s="64" t="s">
        <v>2087</v>
      </c>
      <c r="Z94" s="64" t="s">
        <v>2088</v>
      </c>
      <c r="AA94" s="74" t="str">
        <f t="shared" si="38"/>
        <v>430024</v>
      </c>
      <c r="DC94" s="64"/>
      <c r="DD94" s="64" t="s">
        <v>2085</v>
      </c>
      <c r="DE94" s="64" t="s">
        <v>2082</v>
      </c>
      <c r="DF94" s="64" t="s">
        <v>2089</v>
      </c>
      <c r="DG94" s="64" t="s">
        <v>2083</v>
      </c>
      <c r="DH94" s="64" t="s">
        <v>2086</v>
      </c>
      <c r="DI94" s="64" t="s">
        <v>2090</v>
      </c>
      <c r="DJ94" s="64" t="s">
        <v>2091</v>
      </c>
      <c r="DK94" s="64" t="s">
        <v>2092</v>
      </c>
      <c r="DL94" s="64"/>
      <c r="DM94" s="64" t="s">
        <v>2087</v>
      </c>
      <c r="DN94" s="64" t="s">
        <v>2084</v>
      </c>
      <c r="DO94" s="64" t="s">
        <v>2088</v>
      </c>
      <c r="DP94" s="74" t="str">
        <f>IF($H94=Formeln_RI_P.10!$A$280,$DE94,IF($H94=Formeln_RI_P.10!$A$281,$DG94,IF($H94=Formeln_RI_P.10!$A$282,$DD94,IF($H94=Formeln_RI_P.10!$A$283,$DN94,IF($H94=Formeln_RI_P.10!$A$284,$DF94,IF($H94=Formeln_RI_P.10!$A$285,$DI94,IF($H94=Formeln_RI_P.10!$A$286,$DJ94,IF($H94=Formeln_RI_P.10!$A$287,$DK94,IF($H94=Formeln_RI_P.10!$A$288,$DH$94,IF($H94=Formeln_RI_P.10!$A$289,$DM94,IF($H94=Formeln_RI_P.10!$A$290,$DL94,IF($H94=Formeln_RI_P.10!$A$291,$DC94,IF($H94=Formeln_RI_P.10!$A$292,$DO94,"")))))))))))))</f>
        <v>430027</v>
      </c>
      <c r="DQ94" s="74">
        <v>0.75</v>
      </c>
      <c r="DR94" s="74">
        <v>750</v>
      </c>
      <c r="DS94" s="64"/>
      <c r="DT94" s="71">
        <v>430152</v>
      </c>
      <c r="DU94" s="71">
        <v>430151</v>
      </c>
      <c r="DV94" s="71"/>
      <c r="DW94" s="71">
        <v>430150</v>
      </c>
      <c r="DX94" s="71"/>
      <c r="DY94" s="71">
        <v>430141</v>
      </c>
      <c r="DZ94" s="71"/>
      <c r="EA94" s="71"/>
      <c r="EB94" s="71"/>
      <c r="EC94" s="71">
        <v>430154</v>
      </c>
      <c r="ED94" s="71">
        <v>430144</v>
      </c>
      <c r="EE94" s="71">
        <v>430155</v>
      </c>
      <c r="EF94" s="74">
        <f>IF($H94=Formeln_RI_P.10!$A$280,$DU94,IF($H94=Formeln_RI_P.10!$A$281,$DW94,IF($H94=Formeln_RI_P.10!$A$282,$DT94,IF($H94=Formeln_RI_P.10!$A$283,$ED94,IF($H94=Formeln_RI_P.10!$A$284,$DV94,IF($H94=Formeln_RI_P.10!$A$285,$DY94,IF($H94=Formeln_RI_P.10!$A$286,$DZ94,IF($H94=Formeln_RI_P.10!$A$287,$EA94,IF($H94=Formeln_RI_P.10!$A$288,$DX$94,IF($H94=Formeln_RI_P.10!$A$289,$EC94,IF($H94=Formeln_RI_P.10!$A$290,$EB94,IF($H94=Formeln_RI_P.10!$A$291,$DS94,IF($H94=Formeln_RI_P.10!$A$292,$EE94,"")))))))))))))</f>
        <v>0</v>
      </c>
      <c r="EG94" s="74">
        <v>50</v>
      </c>
      <c r="EH94" s="74">
        <v>50</v>
      </c>
    </row>
    <row r="95" spans="1:138" ht="32.1" customHeight="1">
      <c r="A95" s="131"/>
      <c r="B95" s="96" t="str">
        <f>VLOOKUP("lfm",Sprachindex!A:Z,Info!$O$6,FALSE)</f>
        <v>lfm</v>
      </c>
      <c r="C95" s="95"/>
      <c r="D95" s="95">
        <v>580001</v>
      </c>
      <c r="E95" s="250" t="str">
        <f>VLOOKUP("Dila",Sprachindex!A:Z,Info!$O$6,FALSE)</f>
        <v>Dila</v>
      </c>
      <c r="F95" s="251"/>
      <c r="G95" s="251"/>
      <c r="H95" s="251"/>
      <c r="I95" s="251"/>
      <c r="J95" s="307" t="str">
        <f>VLOOKUP("6.000 × 375 mm",Sprachindex!A:Z,Info!$O$6,FALSE)</f>
        <v>6.000 × 375 mm</v>
      </c>
      <c r="K95" s="308"/>
      <c r="L95" s="96" t="str">
        <f>IF(A95=""," ",IF($N$11=1,P95,IF($N$11=2,Q95,0)))</f>
        <v xml:space="preserve"> </v>
      </c>
      <c r="M95" s="130"/>
      <c r="N95" s="87"/>
      <c r="O95" s="1"/>
      <c r="P95" s="191" t="str">
        <f>ROUNDUP($A95/6,0)*6 &amp; "  " &amp; Formeln_RI_P.10!$A$112 &amp; "                     " &amp; " (" &amp; ROUNDUP($A95/6,0) &amp; " " &amp; Formeln_RI_P.10!$A$111 &amp; ")"</f>
        <v>0  lfm                      (0 STK)</v>
      </c>
      <c r="Q95" s="191" t="str">
        <f>ROUNDUP($A95,0) &amp; "  " &amp; Formeln_RI_P.10!$A$112 &amp; "                     " &amp; " (" &amp; ROUNDUP($A95/6,1) &amp; " " &amp; Formeln_RI_P.10!$A$111 &amp; ")"</f>
        <v>0  lfm                      (0 STK)</v>
      </c>
      <c r="R95" s="191"/>
      <c r="S95" s="191"/>
      <c r="T95" s="206" t="s">
        <v>74</v>
      </c>
      <c r="U95" s="49" t="s">
        <v>1078</v>
      </c>
      <c r="V95" s="49" t="s">
        <v>76</v>
      </c>
      <c r="W95" s="49" t="s">
        <v>79</v>
      </c>
      <c r="X95" s="49" t="s">
        <v>84</v>
      </c>
      <c r="Y95" s="49" t="s">
        <v>81</v>
      </c>
      <c r="Z95" s="49" t="s">
        <v>1079</v>
      </c>
      <c r="AA95" s="49"/>
      <c r="AB95" s="74"/>
      <c r="AC95" s="206" t="s">
        <v>74</v>
      </c>
      <c r="AD95" s="49" t="s">
        <v>1078</v>
      </c>
      <c r="AE95" s="49" t="s">
        <v>76</v>
      </c>
      <c r="AF95" s="49" t="s">
        <v>79</v>
      </c>
      <c r="AG95" s="49" t="s">
        <v>84</v>
      </c>
      <c r="AH95" s="49" t="s">
        <v>81</v>
      </c>
      <c r="AI95" s="49" t="s">
        <v>1079</v>
      </c>
      <c r="AJ95" s="49"/>
      <c r="AK95" s="74"/>
      <c r="AL95" s="206" t="s">
        <v>74</v>
      </c>
      <c r="AM95" s="49" t="s">
        <v>1078</v>
      </c>
      <c r="AN95" s="49" t="s">
        <v>76</v>
      </c>
      <c r="AO95" s="49" t="s">
        <v>79</v>
      </c>
      <c r="AP95" s="49" t="s">
        <v>84</v>
      </c>
      <c r="AQ95" s="49" t="s">
        <v>81</v>
      </c>
      <c r="AR95" s="49" t="s">
        <v>1079</v>
      </c>
      <c r="AS95" s="49"/>
      <c r="AT95" s="74"/>
      <c r="AU95" s="206" t="s">
        <v>74</v>
      </c>
      <c r="AV95" s="49" t="s">
        <v>1078</v>
      </c>
      <c r="AW95" s="49" t="s">
        <v>76</v>
      </c>
      <c r="AX95" s="49" t="s">
        <v>79</v>
      </c>
      <c r="AY95" s="49" t="s">
        <v>84</v>
      </c>
      <c r="AZ95" s="49" t="s">
        <v>81</v>
      </c>
      <c r="BA95" s="49" t="s">
        <v>1079</v>
      </c>
      <c r="BB95" s="49"/>
      <c r="BC95" s="74"/>
      <c r="BD95" s="206" t="s">
        <v>74</v>
      </c>
      <c r="BE95" s="49" t="s">
        <v>1078</v>
      </c>
      <c r="BF95" s="49" t="s">
        <v>76</v>
      </c>
      <c r="BG95" s="49" t="s">
        <v>79</v>
      </c>
      <c r="BH95" s="49" t="s">
        <v>84</v>
      </c>
      <c r="BI95" s="49" t="s">
        <v>81</v>
      </c>
      <c r="BJ95" s="49" t="s">
        <v>1079</v>
      </c>
      <c r="BK95" s="49"/>
      <c r="BL95" s="74"/>
      <c r="BM95" s="206" t="s">
        <v>74</v>
      </c>
      <c r="BN95" s="49" t="s">
        <v>1078</v>
      </c>
      <c r="BO95" s="49" t="s">
        <v>76</v>
      </c>
      <c r="BP95" s="49" t="s">
        <v>79</v>
      </c>
      <c r="BQ95" s="49" t="s">
        <v>84</v>
      </c>
      <c r="BR95" s="49" t="s">
        <v>81</v>
      </c>
      <c r="BS95" s="49" t="s">
        <v>1079</v>
      </c>
      <c r="BT95" s="49"/>
      <c r="BU95" s="74"/>
      <c r="BV95" s="206" t="s">
        <v>74</v>
      </c>
      <c r="BW95" s="49" t="s">
        <v>1078</v>
      </c>
      <c r="BX95" s="49" t="s">
        <v>76</v>
      </c>
      <c r="BY95" s="49" t="s">
        <v>79</v>
      </c>
      <c r="BZ95" s="49" t="s">
        <v>84</v>
      </c>
      <c r="CA95" s="49" t="s">
        <v>81</v>
      </c>
      <c r="CB95" s="49" t="s">
        <v>1079</v>
      </c>
      <c r="CC95" s="49"/>
      <c r="CD95" s="74"/>
      <c r="CE95" s="206" t="s">
        <v>74</v>
      </c>
      <c r="CF95" s="49" t="s">
        <v>1078</v>
      </c>
      <c r="CG95" s="49" t="s">
        <v>76</v>
      </c>
      <c r="CH95" s="49" t="s">
        <v>79</v>
      </c>
      <c r="CI95" s="49" t="s">
        <v>84</v>
      </c>
      <c r="CJ95" s="49" t="s">
        <v>81</v>
      </c>
      <c r="CK95" s="49" t="s">
        <v>1079</v>
      </c>
      <c r="CL95" s="49"/>
      <c r="CM95" s="74"/>
      <c r="CN95" s="206" t="s">
        <v>74</v>
      </c>
      <c r="CO95" s="49" t="s">
        <v>1078</v>
      </c>
      <c r="CP95" s="49" t="s">
        <v>76</v>
      </c>
      <c r="CQ95" s="49" t="s">
        <v>79</v>
      </c>
      <c r="CR95" s="49" t="s">
        <v>84</v>
      </c>
      <c r="CS95" s="49" t="s">
        <v>81</v>
      </c>
      <c r="CT95" s="49" t="s">
        <v>1079</v>
      </c>
      <c r="CU95" s="49"/>
      <c r="CV95" s="74"/>
    </row>
    <row r="96" spans="1:138" ht="32.1" customHeight="1">
      <c r="A96" s="131"/>
      <c r="B96" s="96" t="str">
        <f>VLOOKUP("STK",Sprachindex!A:Z,Info!$O$6,FALSE)</f>
        <v>STK</v>
      </c>
      <c r="C96" s="95"/>
      <c r="D96" s="96">
        <f>IF($N$17=1,AA96,IF($N$17=2,AJ96,IF($N$17=3,AS96,IF($N$17=4,BB96,0))))</f>
        <v>0</v>
      </c>
      <c r="E96" s="250" t="str">
        <f>VLOOKUP("Rinnen-Dila mit Wulst und Blende",Sprachindex!A:Z,Info!$O$6,FALSE)</f>
        <v>Rinnen-Dila mit Wulst und Blende</v>
      </c>
      <c r="F96" s="251"/>
      <c r="G96" s="251"/>
      <c r="H96" s="251"/>
      <c r="I96" s="251"/>
      <c r="J96" s="307" t="str">
        <f>Formeln_RI_P.10!A175</f>
        <v/>
      </c>
      <c r="K96" s="308"/>
      <c r="L96" s="96" t="str">
        <f t="shared" si="4"/>
        <v xml:space="preserve"> </v>
      </c>
      <c r="M96" s="130"/>
      <c r="N96" s="87"/>
      <c r="O96" s="1"/>
      <c r="P96" s="191" t="e">
        <f>ROUNDUP($A96/$R96,0)*$R96 &amp; "  " &amp; Formeln_RI_P.10!$A$111</f>
        <v>#VALUE!</v>
      </c>
      <c r="Q96" s="191" t="str">
        <f>ROUNDUP($A96/S96,0)*S96 &amp; "  " &amp; Formeln_RI_P.10!$A$111</f>
        <v>0  STK</v>
      </c>
      <c r="R96" s="191" t="str">
        <f>IF($N$17="","",6)</f>
        <v/>
      </c>
      <c r="S96" s="191">
        <v>1</v>
      </c>
      <c r="T96" s="78" t="s">
        <v>2093</v>
      </c>
      <c r="U96" s="78" t="s">
        <v>2094</v>
      </c>
      <c r="V96" s="78" t="s">
        <v>2095</v>
      </c>
      <c r="W96" s="78" t="s">
        <v>2096</v>
      </c>
      <c r="X96" s="78" t="s">
        <v>2097</v>
      </c>
      <c r="Y96" s="78" t="s">
        <v>2098</v>
      </c>
      <c r="Z96" s="78" t="s">
        <v>2099</v>
      </c>
      <c r="AA96" s="74" t="str">
        <f t="shared" ref="AA96:AA97" si="39">IF($N$16=1,T96,IF($N$16=2,U96,IF($N$16=3,V96,IF($N$16=4,W96,IF($N$16=5,X96,IF($N$16=6,Y96,IF($N$16=7,Z96,0)))))))</f>
        <v>203403  547010</v>
      </c>
      <c r="AB96" s="77" t="s">
        <v>996</v>
      </c>
      <c r="AC96" s="78" t="s">
        <v>2100</v>
      </c>
      <c r="AD96" s="78" t="s">
        <v>2101</v>
      </c>
      <c r="AE96" s="78" t="s">
        <v>2102</v>
      </c>
      <c r="AF96" s="78" t="s">
        <v>2103</v>
      </c>
      <c r="AG96" s="78" t="s">
        <v>2104</v>
      </c>
      <c r="AH96" s="78" t="s">
        <v>2105</v>
      </c>
      <c r="AI96" s="78" t="s">
        <v>2106</v>
      </c>
      <c r="AJ96" s="74" t="str">
        <f t="shared" ref="AJ96:AJ97" si="40">IF($N$16=1,AC96,IF($N$16=2,AD96,IF($N$16=3,AE96,IF($N$16=4,AF96,IF($N$16=5,AG96,IF($N$16=6,AH96,IF($N$16=7,AI96,0)))))))</f>
        <v>203423  547002</v>
      </c>
      <c r="AK96" s="77" t="s">
        <v>1009</v>
      </c>
      <c r="AL96" s="78" t="s">
        <v>2107</v>
      </c>
      <c r="AM96" s="78" t="s">
        <v>2108</v>
      </c>
      <c r="AN96" s="78" t="s">
        <v>2109</v>
      </c>
      <c r="AO96" s="78" t="s">
        <v>2110</v>
      </c>
      <c r="AP96" s="78" t="s">
        <v>2111</v>
      </c>
      <c r="AQ96" s="78" t="s">
        <v>2112</v>
      </c>
      <c r="AR96" s="78" t="s">
        <v>2113</v>
      </c>
      <c r="AS96" s="74" t="str">
        <f t="shared" ref="AS96:AS97" si="41">IF($N$16=1,AL96,IF($N$16=2,AM96,IF($N$16=3,AN96,IF($N$16=4,AO96,IF($N$16=5,AP96,IF($N$16=6,AQ96,IF($N$16=7,AR96,0)))))))</f>
        <v>203443  547001</v>
      </c>
      <c r="AT96" s="77" t="s">
        <v>1022</v>
      </c>
      <c r="AU96" s="78" t="s">
        <v>2114</v>
      </c>
      <c r="AV96" s="78" t="s">
        <v>2115</v>
      </c>
      <c r="AW96" s="78" t="s">
        <v>2116</v>
      </c>
      <c r="AX96" s="78" t="s">
        <v>2117</v>
      </c>
      <c r="AY96" s="78" t="s">
        <v>2118</v>
      </c>
      <c r="AZ96" s="78" t="s">
        <v>2119</v>
      </c>
      <c r="BA96" s="78" t="s">
        <v>2120</v>
      </c>
      <c r="BB96" s="74" t="str">
        <f t="shared" ref="BB96" si="42">IF($N$16=1,AU96,IF($N$16=2,AV96,IF($N$16=3,AW96,IF($N$16=4,AX96,IF($N$16=5,AY96,IF($N$16=6,AZ96,IF($N$16=7,BA96,0)))))))</f>
        <v>203463  547003</v>
      </c>
      <c r="BC96" s="77" t="s">
        <v>1031</v>
      </c>
    </row>
    <row r="97" spans="1:61" ht="32.1" customHeight="1">
      <c r="A97" s="227"/>
      <c r="B97" s="96" t="str">
        <f>VLOOKUP("STK",Sprachindex!A:Z,Info!$O$6,FALSE)</f>
        <v>STK</v>
      </c>
      <c r="C97" s="95"/>
      <c r="D97" s="96">
        <f>IF($N$17=1,AA97,IF($N$17=3,AJ97,IF($N$17=4,AS97,0)))</f>
        <v>0</v>
      </c>
      <c r="E97" s="250" t="str">
        <f>VLOOKUP("Kastenrinnen-Dila mit Wulst und Blende",Sprachindex!A:Z,Info!$O$6,FALSE)</f>
        <v>Kastenrinnen-Dila mit Wulst und Blende</v>
      </c>
      <c r="F97" s="251"/>
      <c r="G97" s="251"/>
      <c r="H97" s="251"/>
      <c r="I97" s="251"/>
      <c r="J97" s="307" t="str">
        <f>Formeln_RI_P.10!A181</f>
        <v/>
      </c>
      <c r="K97" s="308"/>
      <c r="L97" s="96" t="str">
        <f t="shared" si="4"/>
        <v xml:space="preserve"> </v>
      </c>
      <c r="M97" s="130"/>
      <c r="N97" s="87"/>
      <c r="O97" s="1"/>
      <c r="P97" s="191" t="e">
        <f>ROUNDUP($A97/R97,0)*R97 &amp; "  " &amp; Formeln_RI_P.10!$A$111</f>
        <v>#VALUE!</v>
      </c>
      <c r="Q97" s="191" t="str">
        <f>ROUNDUP($A97/S97,0)*S97 &amp; "  " &amp; Formeln_RI_P.10!$A$111</f>
        <v>0  STK</v>
      </c>
      <c r="R97" s="191" t="str">
        <f>IF($N$17=1,6,IF($N$17=3,6,IF($N$17=4,6,"")))</f>
        <v/>
      </c>
      <c r="S97" s="191">
        <v>1</v>
      </c>
      <c r="T97" s="78" t="s">
        <v>2121</v>
      </c>
      <c r="U97" s="78" t="s">
        <v>2122</v>
      </c>
      <c r="V97" s="78" t="s">
        <v>2123</v>
      </c>
      <c r="W97" s="78" t="s">
        <v>2124</v>
      </c>
      <c r="X97" s="78" t="s">
        <v>2125</v>
      </c>
      <c r="Y97" s="78" t="s">
        <v>2126</v>
      </c>
      <c r="Z97" s="78" t="s">
        <v>2127</v>
      </c>
      <c r="AA97" s="74" t="str">
        <f t="shared" si="39"/>
        <v>203503  547011</v>
      </c>
      <c r="AB97" s="77" t="s">
        <v>996</v>
      </c>
      <c r="AC97" s="78" t="s">
        <v>2128</v>
      </c>
      <c r="AD97" s="78" t="s">
        <v>2129</v>
      </c>
      <c r="AE97" s="78" t="s">
        <v>2130</v>
      </c>
      <c r="AF97" s="78" t="s">
        <v>2131</v>
      </c>
      <c r="AG97" s="78" t="s">
        <v>2132</v>
      </c>
      <c r="AH97" s="78" t="s">
        <v>2133</v>
      </c>
      <c r="AI97" s="78" t="s">
        <v>2134</v>
      </c>
      <c r="AJ97" s="74" t="str">
        <f t="shared" si="40"/>
        <v>203543  547008</v>
      </c>
      <c r="AK97" s="77" t="s">
        <v>1022</v>
      </c>
      <c r="AL97" s="78" t="s">
        <v>2135</v>
      </c>
      <c r="AM97" s="78" t="s">
        <v>2136</v>
      </c>
      <c r="AN97" s="78" t="s">
        <v>2137</v>
      </c>
      <c r="AO97" s="78" t="s">
        <v>2138</v>
      </c>
      <c r="AP97" s="78" t="s">
        <v>2139</v>
      </c>
      <c r="AQ97" s="78" t="s">
        <v>2140</v>
      </c>
      <c r="AR97" s="78" t="s">
        <v>2141</v>
      </c>
      <c r="AS97" s="74" t="str">
        <f t="shared" si="41"/>
        <v>203563  547009</v>
      </c>
      <c r="AT97" s="77" t="s">
        <v>1031</v>
      </c>
    </row>
    <row r="98" spans="1:61" ht="32.1" customHeight="1">
      <c r="A98" s="131"/>
      <c r="B98" s="96" t="str">
        <f>VLOOKUP("STK",Sprachindex!A:Z,Info!$O$6,FALSE)</f>
        <v>STK</v>
      </c>
      <c r="C98" s="95"/>
      <c r="D98" s="96">
        <f>IF($N$17=1,AA98,IF($N$17=2,AJ98,IF($N$17=3,AS98,IF($N$17=4,BB98,0))))</f>
        <v>0</v>
      </c>
      <c r="E98" s="250" t="str">
        <f>VLOOKUP("Rinnen-Dila ohne Wulst und Blende    ",Sprachindex!A:Z,Info!$O$6,FALSE)</f>
        <v xml:space="preserve">Rinnen-Dila ohne Wulst und Blende    </v>
      </c>
      <c r="F98" s="251"/>
      <c r="G98" s="251"/>
      <c r="H98" s="251"/>
      <c r="I98" s="251"/>
      <c r="J98" s="307" t="str">
        <f>Formeln_RI_P.10!A175</f>
        <v/>
      </c>
      <c r="K98" s="308"/>
      <c r="L98" s="96" t="str">
        <f t="shared" si="4"/>
        <v xml:space="preserve"> </v>
      </c>
      <c r="M98" s="130"/>
      <c r="N98" s="87"/>
      <c r="O98" s="1"/>
      <c r="P98" s="191" t="e">
        <f>ROUNDUP($A98/R98,0)*R98 &amp; "  " &amp; Formeln_RI_P.10!$A$111</f>
        <v>#VALUE!</v>
      </c>
      <c r="Q98" s="191" t="str">
        <f>ROUNDUP($A98/S98,0)*S98 &amp; "  " &amp; Formeln_RI_P.10!$A$111</f>
        <v>0  STK</v>
      </c>
      <c r="R98" s="191" t="str">
        <f>IF($N$17="","",6)</f>
        <v/>
      </c>
      <c r="S98" s="191">
        <v>1</v>
      </c>
      <c r="T98" s="64"/>
      <c r="AA98" s="77">
        <v>547102</v>
      </c>
      <c r="AB98" s="77" t="s">
        <v>1059</v>
      </c>
      <c r="AC98" s="64"/>
      <c r="AJ98" s="77">
        <v>547101</v>
      </c>
      <c r="AK98" s="77" t="s">
        <v>1061</v>
      </c>
      <c r="AL98" s="64"/>
      <c r="AS98" s="77">
        <v>547100</v>
      </c>
      <c r="AT98" s="77" t="s">
        <v>1063</v>
      </c>
      <c r="AU98" s="64"/>
      <c r="BB98" s="77">
        <v>547103</v>
      </c>
      <c r="BC98" s="77" t="s">
        <v>1065</v>
      </c>
    </row>
    <row r="99" spans="1:61" ht="32.1" customHeight="1">
      <c r="A99" s="131"/>
      <c r="B99" s="96" t="str">
        <f>VLOOKUP("STK",Sprachindex!A:Z,Info!$O$6,FALSE)</f>
        <v>STK</v>
      </c>
      <c r="C99" s="95"/>
      <c r="D99" s="96">
        <f>IF($N$17=1,AA99,IF($N$17=3,AJ99,IF($N$17=4,AS99,0)))</f>
        <v>0</v>
      </c>
      <c r="E99" s="250" t="str">
        <f>VLOOKUP("Kastenrinnen-Dila ohne Wulst und Blende",Sprachindex!A:Z,Info!$O$6,FALSE)</f>
        <v>Kastenrinnen-Dila ohne Wulst und Blende</v>
      </c>
      <c r="F99" s="251"/>
      <c r="G99" s="251"/>
      <c r="H99" s="251"/>
      <c r="I99" s="251"/>
      <c r="J99" s="307" t="str">
        <f>Formeln_RI_P.10!A181</f>
        <v/>
      </c>
      <c r="K99" s="308"/>
      <c r="L99" s="96" t="str">
        <f t="shared" si="4"/>
        <v xml:space="preserve"> </v>
      </c>
      <c r="M99" s="130"/>
      <c r="N99" s="87"/>
      <c r="O99" s="1"/>
      <c r="P99" s="191" t="e">
        <f>ROUNDUP($A99/R99,0)*R99 &amp; "  " &amp; Formeln_RI_P.10!$A$111</f>
        <v>#VALUE!</v>
      </c>
      <c r="Q99" s="191" t="str">
        <f>ROUNDUP($A99/S99,0)*S99 &amp; "  " &amp; Formeln_RI_P.10!$A$111</f>
        <v>0  STK</v>
      </c>
      <c r="R99" s="191" t="str">
        <f>IF($N$17=1,6,IF($N$17=3,6,IF($N$17=4,6,"")))</f>
        <v/>
      </c>
      <c r="S99" s="191">
        <v>1</v>
      </c>
      <c r="T99" s="64"/>
      <c r="AA99" s="77">
        <v>547106</v>
      </c>
      <c r="AB99" s="77" t="s">
        <v>1059</v>
      </c>
      <c r="AC99" s="64"/>
      <c r="AJ99" s="77">
        <v>547105</v>
      </c>
      <c r="AK99" s="77" t="s">
        <v>1063</v>
      </c>
      <c r="AL99" s="64"/>
      <c r="AS99" s="77">
        <v>547104</v>
      </c>
      <c r="AT99" s="77" t="s">
        <v>1065</v>
      </c>
    </row>
    <row r="100" spans="1:61" ht="32.1" customHeight="1">
      <c r="A100" s="131"/>
      <c r="B100" s="96" t="str">
        <f>VLOOKUP("STK",Sprachindex!A:Z,Info!$O$6,FALSE)</f>
        <v>STK</v>
      </c>
      <c r="C100" s="95"/>
      <c r="D100" s="95" t="str">
        <f t="shared" ref="D100:D101" si="43">AA100</f>
        <v>430155</v>
      </c>
      <c r="E100" s="250" t="str">
        <f>VLOOKUP("Ausbesserungslack",Sprachindex!A:Z,Info!$O$6,FALSE)</f>
        <v>Ausbesserungslack</v>
      </c>
      <c r="F100" s="251"/>
      <c r="G100" s="251"/>
      <c r="H100" s="251"/>
      <c r="I100" s="251"/>
      <c r="J100" s="307" t="str">
        <f>VLOOKUP("12 ml",Sprachindex!A:Z,Info!$O$6,FALSE)</f>
        <v>12 ml</v>
      </c>
      <c r="K100" s="308"/>
      <c r="L100" s="96" t="str">
        <f t="shared" ref="L100:L101" si="44">IF(OR(A100="",R100="",S100="")," ",IF($N$11=1,$P100,IF($N$11=2,Q100,0)))</f>
        <v xml:space="preserve"> </v>
      </c>
      <c r="M100" s="130"/>
      <c r="N100" s="87"/>
      <c r="O100" s="1"/>
      <c r="P100" s="191" t="str">
        <f>ROUNDUP($A100/R100,0)*R100 &amp; "  " &amp; Formeln!$A$111</f>
        <v>0  STK</v>
      </c>
      <c r="Q100" s="191" t="str">
        <f>ROUNDUP($A100/S100,0)*S100 &amp; "  " &amp; Formeln!$A$111</f>
        <v>0  STK</v>
      </c>
      <c r="R100" s="191">
        <v>1</v>
      </c>
      <c r="S100" s="191">
        <v>1</v>
      </c>
      <c r="T100" s="64" t="s">
        <v>1070</v>
      </c>
      <c r="U100" s="64" t="s">
        <v>2142</v>
      </c>
      <c r="V100" s="64" t="s">
        <v>2143</v>
      </c>
      <c r="W100" s="64" t="s">
        <v>1069</v>
      </c>
      <c r="X100" s="64"/>
      <c r="Y100" s="64" t="s">
        <v>2144</v>
      </c>
      <c r="Z100" s="64" t="s">
        <v>2145</v>
      </c>
      <c r="AA100" s="74" t="str">
        <f t="shared" ref="AA100:AA101" si="45">IF($N$16=1,T100,IF($N$16=2,U100,IF($N$16=3,V100,IF($N$16=4,W100,IF($N$16=5,X100,IF($N$16=6,Y100,IF($N$16=7,Z100,0)))))))</f>
        <v>430155</v>
      </c>
      <c r="AB100" s="64"/>
      <c r="AC100" s="64"/>
      <c r="AD100" s="64"/>
      <c r="AE100" s="71"/>
      <c r="AF100" s="74">
        <f t="shared" ref="AF100:AF101" si="46">IF($N$21=1,V100,IF($N$21=2,X100,IF($N$21=3,W100,IF($N$21=4,Z100,IF($N$21=5,AA100,IF($N$21=6,U100,IF($N$21=7,AB100,IF($N$21=8,AC100,IF($N$21=9,T100,0)))))))))</f>
        <v>0</v>
      </c>
      <c r="AG100" s="77"/>
      <c r="AH100" s="64"/>
      <c r="AS100" s="80"/>
      <c r="AT100" s="76"/>
      <c r="AU100" s="77"/>
      <c r="AV100" s="64"/>
      <c r="BG100" s="80"/>
      <c r="BH100" s="76"/>
      <c r="BI100" s="77"/>
    </row>
    <row r="101" spans="1:61" ht="32.1" customHeight="1">
      <c r="A101" s="131"/>
      <c r="B101" s="96" t="str">
        <f>VLOOKUP("STK",Sprachindex!A:Z,Info!$O$6,FALSE)</f>
        <v>STK</v>
      </c>
      <c r="C101" s="95"/>
      <c r="D101" s="95" t="str">
        <f t="shared" si="43"/>
        <v>430205</v>
      </c>
      <c r="E101" s="250" t="str">
        <f>VLOOKUP("Ausbesserungsstift",Sprachindex!A:Z,Info!$O$6,FALSE)</f>
        <v>Ausbesserungsstift</v>
      </c>
      <c r="F101" s="251"/>
      <c r="G101" s="251"/>
      <c r="H101" s="251"/>
      <c r="I101" s="251"/>
      <c r="J101" s="307" t="str">
        <f>VLOOKUP("11 ml",Sprachindex!A:Z,Info!$O$6,FALSE)</f>
        <v>11 ml</v>
      </c>
      <c r="K101" s="308"/>
      <c r="L101" s="96" t="str">
        <f t="shared" si="44"/>
        <v xml:space="preserve"> </v>
      </c>
      <c r="M101" s="130"/>
      <c r="N101" s="87"/>
      <c r="O101" s="1"/>
      <c r="P101" s="191" t="str">
        <f>ROUNDUP($A101/R101,0)*R101 &amp; "  " &amp; Formeln!$A$111</f>
        <v>0  STK</v>
      </c>
      <c r="Q101" s="191" t="str">
        <f>ROUNDUP($A101/S101,0)*S101 &amp; "  " &amp; Formeln!$A$111</f>
        <v>0  STK</v>
      </c>
      <c r="R101" s="191">
        <v>1</v>
      </c>
      <c r="S101" s="191">
        <v>1</v>
      </c>
      <c r="T101" s="64" t="s">
        <v>1074</v>
      </c>
      <c r="U101" s="64" t="s">
        <v>1075</v>
      </c>
      <c r="V101" s="64" t="s">
        <v>2146</v>
      </c>
      <c r="W101" s="64" t="s">
        <v>1073</v>
      </c>
      <c r="X101" s="64" t="s">
        <v>2147</v>
      </c>
      <c r="Y101" s="64" t="s">
        <v>2148</v>
      </c>
      <c r="Z101" s="64" t="s">
        <v>2149</v>
      </c>
      <c r="AA101" s="74" t="str">
        <f t="shared" si="45"/>
        <v>430205</v>
      </c>
      <c r="AB101" s="64"/>
      <c r="AC101" s="64"/>
      <c r="AD101" s="64"/>
      <c r="AE101" s="71"/>
      <c r="AF101" s="74">
        <f t="shared" si="46"/>
        <v>0</v>
      </c>
      <c r="AG101" s="77"/>
      <c r="AH101" s="64"/>
      <c r="AS101" s="80"/>
      <c r="AT101" s="76"/>
      <c r="AU101" s="77"/>
      <c r="AV101" s="64"/>
      <c r="BG101" s="80"/>
      <c r="BH101" s="76"/>
      <c r="BI101" s="77"/>
    </row>
    <row r="102" spans="1:61" ht="32.1" customHeight="1">
      <c r="A102" s="131"/>
      <c r="B102" s="96" t="str">
        <f>VLOOKUP("STK",Sprachindex!A:Z,Info!$O$6,FALSE)</f>
        <v>STK</v>
      </c>
      <c r="C102" s="95"/>
      <c r="D102" s="95">
        <v>425002</v>
      </c>
      <c r="E102" s="250" t="str">
        <f>VLOOKUP("Aluminium-Lötstäbe",Sprachindex!A:Z,Info!$O$6,FALSE)</f>
        <v>Aluminium-Lötstäbe</v>
      </c>
      <c r="F102" s="251"/>
      <c r="G102" s="251"/>
      <c r="H102" s="251"/>
      <c r="I102" s="251"/>
      <c r="J102" s="307" t="str">
        <f>VLOOKUP("250 g",Sprachindex!A:Z,Info!$O$6,FALSE)</f>
        <v>250 g</v>
      </c>
      <c r="K102" s="308"/>
      <c r="L102" s="96" t="str">
        <f t="shared" si="4"/>
        <v xml:space="preserve"> </v>
      </c>
      <c r="M102" s="130"/>
      <c r="N102" s="87"/>
      <c r="O102" s="1"/>
      <c r="P102" s="191" t="str">
        <f>ROUNDUP($A102/R102,0)*R102 &amp; "  " &amp; Formeln_RI_P.10!$A$111</f>
        <v>0  STK</v>
      </c>
      <c r="Q102" s="191" t="str">
        <f>ROUNDUP($A102/S102,0)*S102 &amp; "  " &amp; Formeln_RI_P.10!$A$111</f>
        <v>0  STK</v>
      </c>
      <c r="R102" s="191">
        <v>1</v>
      </c>
      <c r="S102" s="191">
        <v>1</v>
      </c>
    </row>
    <row r="103" spans="1:61" ht="32.1" customHeight="1">
      <c r="A103" s="118"/>
      <c r="B103" s="96" t="str">
        <f>VLOOKUP("STK",Sprachindex!A:Z,Info!$O$6,FALSE)</f>
        <v>STK</v>
      </c>
      <c r="C103" s="95"/>
      <c r="D103" s="95">
        <v>420006</v>
      </c>
      <c r="E103" s="250" t="str">
        <f>VLOOKUP("Spezialsilikon",Sprachindex!A:Z,Info!$O$6,FALSE)</f>
        <v>Spezialsilikon</v>
      </c>
      <c r="F103" s="251"/>
      <c r="G103" s="251"/>
      <c r="H103" s="251"/>
      <c r="I103" s="251"/>
      <c r="J103" s="307" t="str">
        <f>VLOOKUP("300 ml",Sprachindex!A:Z,Info!$O$6,FALSE)</f>
        <v>300 ml</v>
      </c>
      <c r="K103" s="308"/>
      <c r="L103" s="96" t="str">
        <f t="shared" ref="L103" si="47">IF(OR(A103="",R103="",S103="")," ",IF($N$11=1,$P103,IF($N$11=2,Q103,0)))</f>
        <v xml:space="preserve"> </v>
      </c>
      <c r="M103" s="130"/>
      <c r="N103" s="87"/>
      <c r="O103" s="1"/>
      <c r="P103" s="191" t="str">
        <f>ROUNDUP($A103/R103,0)*R103 &amp; "  " &amp; Formeln!$A$111</f>
        <v>0  STK</v>
      </c>
      <c r="Q103" s="191" t="str">
        <f>ROUNDUP($A103/S103,0)*S103 &amp; "  " &amp; Formeln!$A$111</f>
        <v>0  STK</v>
      </c>
      <c r="R103" s="191">
        <v>1</v>
      </c>
      <c r="S103" s="191">
        <v>1</v>
      </c>
    </row>
    <row r="104" spans="1:61" ht="32.1" customHeight="1">
      <c r="A104" s="126"/>
      <c r="B104" s="96" t="str">
        <f>VLOOKUP("Stk",Sprachindex!A:Z,Info!$O$6,FALSE)</f>
        <v>STK</v>
      </c>
      <c r="C104" s="95"/>
      <c r="D104" s="95">
        <v>420501</v>
      </c>
      <c r="E104" s="250" t="str">
        <f>VLOOKUP("Spezialkleber",Sprachindex!A:Z,Info!$O$6,FALSE)</f>
        <v>Spezialkleber</v>
      </c>
      <c r="F104" s="251"/>
      <c r="G104" s="251"/>
      <c r="H104" s="251"/>
      <c r="I104" s="251"/>
      <c r="J104" s="307"/>
      <c r="K104" s="308"/>
      <c r="L104" s="96" t="str">
        <f t="shared" ref="L104:L105" si="48">IF(A104=0,"",IF($N$11=1,P104,Q104))</f>
        <v/>
      </c>
      <c r="M104" s="130"/>
      <c r="O104" s="171"/>
      <c r="P104" s="191" t="str">
        <f>ROUNDUP($A104,0) &amp;" " &amp; Formeln!$A$111</f>
        <v>0 STK</v>
      </c>
      <c r="Q104" s="191" t="str">
        <f>ROUNDUP($A104,0) &amp;" " &amp; Formeln!$A$111</f>
        <v>0 STK</v>
      </c>
      <c r="R104" s="192"/>
    </row>
    <row r="105" spans="1:61" ht="32.1" customHeight="1">
      <c r="A105" s="118"/>
      <c r="B105" s="96" t="str">
        <f>VLOOKUP("Set",Sprachindex!A:Z,Info!$O$6,FALSE)</f>
        <v>Set</v>
      </c>
      <c r="C105" s="98"/>
      <c r="D105" s="95">
        <v>420500</v>
      </c>
      <c r="E105" s="250" t="str">
        <f>VLOOKUP("Spezialkleber-Set",Sprachindex!A:Z,Info!$O$6,FALSE)</f>
        <v>Spezialkleber-Set</v>
      </c>
      <c r="F105" s="251"/>
      <c r="G105" s="251"/>
      <c r="H105" s="251"/>
      <c r="I105" s="251"/>
      <c r="J105" s="307"/>
      <c r="K105" s="308"/>
      <c r="L105" s="96" t="str">
        <f t="shared" si="48"/>
        <v/>
      </c>
      <c r="M105" s="130"/>
      <c r="O105" s="171"/>
      <c r="P105" s="191" t="str">
        <f>ROUNDUP($A105,0) &amp;" " &amp; IF($A105&lt;=1,Formeln!$A$119,IF($A105&gt;1,Formeln!$A$120,""))</f>
        <v>0 Set</v>
      </c>
      <c r="Q105" s="191" t="str">
        <f>ROUNDUP($A105,0) &amp;" " &amp; IF($A105&lt;=1,Formeln!$A$119,IF($A105&gt;1,Formeln!$A$120,""))</f>
        <v>0 Set</v>
      </c>
      <c r="R105" s="187"/>
      <c r="T105" s="49" t="s">
        <v>29</v>
      </c>
      <c r="U105" s="49" t="s">
        <v>30</v>
      </c>
      <c r="V105" s="49" t="s">
        <v>31</v>
      </c>
      <c r="W105" s="49" t="s">
        <v>32</v>
      </c>
      <c r="X105" s="49" t="s">
        <v>33</v>
      </c>
      <c r="Y105" s="49" t="s">
        <v>34</v>
      </c>
      <c r="Z105" s="49" t="s">
        <v>35</v>
      </c>
      <c r="AA105" s="49" t="s">
        <v>36</v>
      </c>
      <c r="AB105" s="49" t="s">
        <v>37</v>
      </c>
      <c r="AC105" s="49" t="s">
        <v>38</v>
      </c>
      <c r="AD105" s="49" t="s">
        <v>29</v>
      </c>
      <c r="AE105" s="49" t="s">
        <v>30</v>
      </c>
      <c r="AF105" s="49" t="s">
        <v>31</v>
      </c>
      <c r="AG105" s="49" t="s">
        <v>32</v>
      </c>
      <c r="AH105" s="49" t="s">
        <v>33</v>
      </c>
      <c r="AI105" s="49" t="s">
        <v>34</v>
      </c>
      <c r="AJ105" s="49" t="s">
        <v>35</v>
      </c>
      <c r="AK105" s="49" t="s">
        <v>36</v>
      </c>
      <c r="AL105" s="49" t="s">
        <v>37</v>
      </c>
      <c r="AM105" s="49" t="s">
        <v>38</v>
      </c>
    </row>
    <row r="106" spans="1:61" ht="32.1" customHeight="1">
      <c r="A106" s="118"/>
      <c r="B106" s="96" t="str">
        <f>VLOOKUP("STK",Sprachindex!A:Z,Info!$O$6,FALSE)</f>
        <v>STK</v>
      </c>
      <c r="C106" s="95"/>
      <c r="D106" s="95">
        <v>420028</v>
      </c>
      <c r="E106" s="250" t="str">
        <f>VLOOKUP("Rinnenwulstöffner",Sprachindex!A:Z,Info!$O$6,FALSE)</f>
        <v>Rinnenwulstöffner</v>
      </c>
      <c r="F106" s="251"/>
      <c r="G106" s="251"/>
      <c r="H106" s="251"/>
      <c r="I106" s="251"/>
      <c r="J106" s="307"/>
      <c r="K106" s="308"/>
      <c r="L106" s="96" t="str">
        <f>IF(OR(A106="",R106="",S106="")," ",IF($N$11=1,P106,IF($N$11=2,Q106,0)))</f>
        <v xml:space="preserve"> </v>
      </c>
      <c r="M106" s="130"/>
      <c r="N106" s="87"/>
      <c r="O106" s="1"/>
      <c r="P106" s="191" t="str">
        <f>ROUNDUP($A106/R106,0)*R106 &amp; "  " &amp; Formeln_RI_P.10!$A$111</f>
        <v>0  STK</v>
      </c>
      <c r="Q106" s="191" t="str">
        <f>ROUNDUP($A106/S106,0)*S106 &amp; "  " &amp; Formeln_RI_P.10!$A$111</f>
        <v>0  STK</v>
      </c>
      <c r="R106" s="191">
        <v>1</v>
      </c>
      <c r="S106" s="191">
        <v>1</v>
      </c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</row>
    <row r="107" spans="1:61" ht="32.1" customHeight="1">
      <c r="A107" s="118"/>
      <c r="B107" s="96" t="str">
        <f>VLOOKUP("STK",Sprachindex!A:Z,Info!$O$6,FALSE)</f>
        <v>STK</v>
      </c>
      <c r="C107" s="95"/>
      <c r="D107" s="95">
        <v>420546</v>
      </c>
      <c r="E107" s="250" t="str">
        <f>VLOOKUP("Leitersicherung",Sprachindex!A:Z,Info!$O$6,FALSE)</f>
        <v>Leitersicherung</v>
      </c>
      <c r="F107" s="251"/>
      <c r="G107" s="251"/>
      <c r="H107" s="251"/>
      <c r="I107" s="251"/>
      <c r="J107" s="307"/>
      <c r="K107" s="308"/>
      <c r="L107" s="96" t="str">
        <f>IF(OR(A107="",R107="",S107="")," ",IF($N$11=1,P107,IF($N$11=2,Q107,0)))</f>
        <v xml:space="preserve"> </v>
      </c>
      <c r="M107" s="130"/>
      <c r="N107" s="87"/>
      <c r="O107" s="1"/>
      <c r="P107" s="191" t="str">
        <f>ROUNDUP($A107/R107,0)*R107 &amp; "  " &amp; Formeln_RI_P.10!$A$111</f>
        <v>0  STK</v>
      </c>
      <c r="Q107" s="191" t="str">
        <f>ROUNDUP($A107/S107,0)*S107 &amp; "  " &amp; Formeln_RI_P.10!$A$111</f>
        <v>0  STK</v>
      </c>
      <c r="R107" s="191">
        <v>1</v>
      </c>
      <c r="S107" s="191">
        <v>1</v>
      </c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</row>
    <row r="108" spans="1:61" ht="32.1" customHeight="1">
      <c r="A108" s="201"/>
      <c r="B108" s="196"/>
      <c r="C108" s="196"/>
      <c r="D108" s="196"/>
      <c r="E108" s="268"/>
      <c r="F108" s="269"/>
      <c r="G108" s="269"/>
      <c r="H108" s="269"/>
      <c r="I108" s="269"/>
      <c r="J108" s="269"/>
      <c r="K108" s="270"/>
      <c r="L108" s="196"/>
      <c r="M108" s="197"/>
      <c r="N108" s="87"/>
      <c r="O108" s="1"/>
      <c r="P108" s="8"/>
      <c r="Q108" s="8"/>
    </row>
    <row r="109" spans="1:61" ht="32.1" customHeight="1">
      <c r="A109" s="202"/>
      <c r="B109" s="196"/>
      <c r="C109" s="196"/>
      <c r="D109" s="196"/>
      <c r="E109" s="268"/>
      <c r="F109" s="269"/>
      <c r="G109" s="269"/>
      <c r="H109" s="269"/>
      <c r="I109" s="269"/>
      <c r="J109" s="269"/>
      <c r="K109" s="270"/>
      <c r="L109" s="196"/>
      <c r="M109" s="197"/>
      <c r="N109" s="87"/>
      <c r="O109" s="1"/>
      <c r="P109" s="8"/>
      <c r="Q109" s="8"/>
    </row>
    <row r="110" spans="1:61" ht="32.1" customHeight="1" thickBot="1">
      <c r="A110" s="198"/>
      <c r="B110" s="199"/>
      <c r="C110" s="199"/>
      <c r="D110" s="199"/>
      <c r="E110" s="271"/>
      <c r="F110" s="272"/>
      <c r="G110" s="272"/>
      <c r="H110" s="272"/>
      <c r="I110" s="272"/>
      <c r="J110" s="272"/>
      <c r="K110" s="273"/>
      <c r="L110" s="196"/>
      <c r="M110" s="200"/>
      <c r="N110" s="87"/>
      <c r="O110" s="1"/>
      <c r="P110" s="8"/>
      <c r="Q110" s="8"/>
    </row>
    <row r="111" spans="1:61" ht="15" customHeight="1">
      <c r="A111" s="86"/>
      <c r="B111" s="86"/>
      <c r="C111" s="8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87"/>
    </row>
    <row r="112" spans="1:61" ht="17.399999999999999">
      <c r="A112" s="86"/>
      <c r="B112" s="86"/>
      <c r="C112" s="108" t="str">
        <f>VLOOKUP("Zusatzvermerk:",Sprachindex!A:Z,Info!$O$6,FALSE)</f>
        <v>Zusatzvermerk:</v>
      </c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87"/>
    </row>
    <row r="113" spans="1:182" s="9" customFormat="1" ht="17.399999999999999">
      <c r="A113" s="86"/>
      <c r="B113" s="86"/>
      <c r="C113" s="86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  <c r="N113" s="87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1:182" s="9" customFormat="1" ht="17.399999999999999">
      <c r="A114" s="86"/>
      <c r="B114" s="86"/>
      <c r="C114" s="86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87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1:182" s="9" customFormat="1" ht="17.399999999999999">
      <c r="A115" s="86"/>
      <c r="B115" s="86"/>
      <c r="C115" s="86"/>
      <c r="D115" s="274"/>
      <c r="E115" s="274"/>
      <c r="F115" s="274"/>
      <c r="G115" s="274"/>
      <c r="H115" s="274"/>
      <c r="I115" s="274"/>
      <c r="J115" s="274"/>
      <c r="K115" s="274"/>
      <c r="L115" s="274"/>
      <c r="M115" s="274"/>
      <c r="N115" s="87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1:182" s="9" customFormat="1" ht="17.399999999999999">
      <c r="A116" s="86"/>
      <c r="B116" s="86"/>
      <c r="C116" s="86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87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1:182" s="9" customFormat="1" ht="17.399999999999999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7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spans="1:182" s="9" customFormat="1" ht="17.399999999999999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7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spans="1:182" s="9" customFormat="1" ht="17.399999999999999">
      <c r="A119" s="109" t="str">
        <f>VLOOKUP("Anwendungstechnik",Sprachindex!A:Z,Info!$O$6,FALSE)</f>
        <v>Anwendungstechnik</v>
      </c>
      <c r="B119" s="110"/>
      <c r="C119" s="110"/>
      <c r="D119" s="264"/>
      <c r="E119" s="264"/>
      <c r="F119" s="264"/>
      <c r="G119" s="264"/>
      <c r="H119" s="264"/>
      <c r="I119" s="264"/>
      <c r="J119" s="264"/>
      <c r="K119" s="111" t="str">
        <f>VLOOKUP("Stand:",Sprachindex!A:Z,Info!$O$6,FALSE)</f>
        <v>Stand:</v>
      </c>
      <c r="L119" s="277">
        <v>44546</v>
      </c>
      <c r="M119" s="278"/>
      <c r="N119" s="87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spans="1:182" s="9" customFormat="1" ht="14.2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7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spans="1:182" s="9" customFormat="1" ht="13.8" hidden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spans="1:182" s="9" customFormat="1" ht="13.8" hidden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5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spans="1:182" s="9" customFormat="1" ht="13.8" hidden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5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spans="1:182" s="9" customFormat="1" ht="13.8" hidden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spans="1:182" s="9" customFormat="1" ht="13.8" hidden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5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spans="1:182" s="9" customFormat="1" ht="13.8" hidden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spans="1:182" s="9" customFormat="1" ht="13.8" hidden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spans="1:182" s="9" customFormat="1" ht="13.8" hidden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  <row r="141" ht="13.8" hidden="1"/>
    <row r="142" ht="13.8" hidden="1"/>
    <row r="143" ht="13.8" hidden="1"/>
    <row r="144" ht="13.8" hidden="1"/>
    <row r="145" ht="13.8" hidden="1"/>
    <row r="146" ht="13.8" hidden="1"/>
    <row r="147" ht="13.8" hidden="1"/>
    <row r="148" ht="13.8" hidden="1"/>
    <row r="149" ht="13.8" hidden="1"/>
    <row r="150" ht="13.8" hidden="1"/>
    <row r="151" ht="13.8" hidden="1"/>
    <row r="152" ht="13.8" hidden="1"/>
    <row r="153" ht="13.8" hidden="1"/>
    <row r="154" ht="13.8" hidden="1"/>
    <row r="155" ht="13.8" hidden="1"/>
    <row r="156" ht="13.8" hidden="1"/>
    <row r="157" ht="13.8" hidden="1"/>
    <row r="158" ht="13.8" hidden="1"/>
    <row r="159" ht="13.8" hidden="1"/>
    <row r="160" ht="13.8" hidden="1"/>
    <row r="161" ht="13.8" hidden="1"/>
    <row r="162" ht="13.8" hidden="1"/>
    <row r="163" ht="13.8" hidden="1"/>
    <row r="164" ht="13.8" hidden="1"/>
    <row r="165" ht="13.8" hidden="1"/>
    <row r="166" ht="13.8" hidden="1"/>
    <row r="167" ht="13.8" hidden="1"/>
    <row r="168" ht="13.8" hidden="1"/>
    <row r="169" ht="13.8" hidden="1"/>
    <row r="170" ht="13.8" hidden="1"/>
    <row r="171" ht="13.8" hidden="1"/>
    <row r="172" ht="13.8" hidden="1"/>
    <row r="173" ht="13.8" hidden="1"/>
    <row r="174" ht="13.8" hidden="1"/>
    <row r="175" ht="13.8" hidden="1"/>
    <row r="176" ht="13.8" hidden="1"/>
    <row r="177" ht="13.8" hidden="1"/>
    <row r="178" ht="13.8" hidden="1"/>
    <row r="179" ht="13.8" hidden="1"/>
    <row r="180" ht="13.8" hidden="1"/>
    <row r="181" ht="13.8" hidden="1"/>
    <row r="182" ht="13.8" hidden="1"/>
    <row r="183" ht="13.8" hidden="1"/>
    <row r="184" ht="13.8" hidden="1"/>
    <row r="185" ht="13.8" hidden="1"/>
  </sheetData>
  <sheetProtection password="8D71" sheet="1" objects="1" scenarios="1" selectLockedCells="1" autoFilter="0"/>
  <protectedRanges>
    <protectedRange password="DEBF" sqref="P108:Q110" name="darf vom Benutzer nicht verändert werden_1_5"/>
    <protectedRange password="DEBF" sqref="S31:S32 R31:R40 R47:S48" name="darf vom Benutzer nicht verändert werden_1_12"/>
    <protectedRange password="DEBF" sqref="P55:Q55 P31:Q32 P47:Q48" name="darf vom Benutzer nicht verändert werden_1_2_2"/>
    <protectedRange password="DEBF" sqref="P33:P34 Q34 P35:Q44 P46:Q46 P49:Q54 P56:Q62 P95:Q95" name="darf vom Benutzer nicht verändert werden_1_2_3"/>
    <protectedRange password="DEBF" sqref="Q33" name="darf vom Benutzer nicht verändert werden_1_2_4"/>
    <protectedRange password="DEBF" sqref="P45:Q45" name="darf vom Benutzer nicht verändert werden_1_5_3"/>
    <protectedRange password="DEBF" sqref="P63:Q69 P96:Q99 P106:Q107 P71:Q84 P86:Q94 P102:Q102" name="darf vom Benutzer nicht verändert werden_1_2_1"/>
    <protectedRange password="DEBF" sqref="P70:Q70" name="darf vom Benutzer nicht verändert werden_1_2_6"/>
    <protectedRange password="DEBF" sqref="R70" name="darf vom Benutzer nicht verändert werden_1_12_1_1"/>
    <protectedRange password="DEBF" sqref="P85:Q85" name="darf vom Benutzer nicht verändert werden_1_2_3_4_1"/>
    <protectedRange password="DEBF" sqref="P103:Q103" name="darf vom Benutzer nicht verändert werden_1_2_1_1"/>
    <protectedRange password="DEBF" sqref="P104:Q105" name="darf vom Benutzer nicht verändert werden_1_5_4"/>
    <protectedRange password="DEBF" sqref="P100:Q101" name="darf vom Benutzer nicht verändert werden_1_2_1_1_1"/>
  </protectedRanges>
  <autoFilter ref="A29:A110" xr:uid="{00000000-0009-0000-0000-00000A000000}"/>
  <mergeCells count="188">
    <mergeCell ref="J106:K106"/>
    <mergeCell ref="J107:K107"/>
    <mergeCell ref="P29:Q29"/>
    <mergeCell ref="R29:S29"/>
    <mergeCell ref="E40:I40"/>
    <mergeCell ref="J40:K40"/>
    <mergeCell ref="K4:M4"/>
    <mergeCell ref="K5:M5"/>
    <mergeCell ref="K6:M6"/>
    <mergeCell ref="C9:E9"/>
    <mergeCell ref="C10:E10"/>
    <mergeCell ref="C11:E11"/>
    <mergeCell ref="C21:E21"/>
    <mergeCell ref="B29:E29"/>
    <mergeCell ref="E30:K30"/>
    <mergeCell ref="E31:H31"/>
    <mergeCell ref="J31:K31"/>
    <mergeCell ref="E33:H33"/>
    <mergeCell ref="J33:K33"/>
    <mergeCell ref="C13:E13"/>
    <mergeCell ref="C14:E14"/>
    <mergeCell ref="C15:E15"/>
    <mergeCell ref="C18:E18"/>
    <mergeCell ref="C19:E19"/>
    <mergeCell ref="C20:E20"/>
    <mergeCell ref="E37:I37"/>
    <mergeCell ref="J37:K37"/>
    <mergeCell ref="E38:I38"/>
    <mergeCell ref="J38:K38"/>
    <mergeCell ref="E39:I39"/>
    <mergeCell ref="J39:K39"/>
    <mergeCell ref="E34:I34"/>
    <mergeCell ref="J34:K34"/>
    <mergeCell ref="E35:H35"/>
    <mergeCell ref="J35:K35"/>
    <mergeCell ref="E36:H36"/>
    <mergeCell ref="J36:K36"/>
    <mergeCell ref="E32:H32"/>
    <mergeCell ref="J32:K32"/>
    <mergeCell ref="E44:I44"/>
    <mergeCell ref="J44:K44"/>
    <mergeCell ref="E45:I45"/>
    <mergeCell ref="J45:K45"/>
    <mergeCell ref="E41:I41"/>
    <mergeCell ref="J41:K41"/>
    <mergeCell ref="E42:I42"/>
    <mergeCell ref="J42:K42"/>
    <mergeCell ref="E43:I43"/>
    <mergeCell ref="J43:K43"/>
    <mergeCell ref="E50:I50"/>
    <mergeCell ref="J50:K50"/>
    <mergeCell ref="E51:I51"/>
    <mergeCell ref="J51:K51"/>
    <mergeCell ref="E46:I46"/>
    <mergeCell ref="J46:K46"/>
    <mergeCell ref="J47:K47"/>
    <mergeCell ref="E49:I49"/>
    <mergeCell ref="J49:K49"/>
    <mergeCell ref="E47:I47"/>
    <mergeCell ref="E48:I48"/>
    <mergeCell ref="J48:K48"/>
    <mergeCell ref="E54:H54"/>
    <mergeCell ref="J54:K54"/>
    <mergeCell ref="E55:I55"/>
    <mergeCell ref="J55:K55"/>
    <mergeCell ref="E56:I56"/>
    <mergeCell ref="J56:K56"/>
    <mergeCell ref="E52:I52"/>
    <mergeCell ref="J52:K52"/>
    <mergeCell ref="E53:I53"/>
    <mergeCell ref="J53:K53"/>
    <mergeCell ref="E60:I60"/>
    <mergeCell ref="J60:K60"/>
    <mergeCell ref="E61:I61"/>
    <mergeCell ref="J61:K61"/>
    <mergeCell ref="E62:I62"/>
    <mergeCell ref="J62:K62"/>
    <mergeCell ref="E57:I57"/>
    <mergeCell ref="J57:K57"/>
    <mergeCell ref="E58:I58"/>
    <mergeCell ref="J58:K58"/>
    <mergeCell ref="E59:I59"/>
    <mergeCell ref="J59:K59"/>
    <mergeCell ref="E66:I66"/>
    <mergeCell ref="J66:K66"/>
    <mergeCell ref="E67:H67"/>
    <mergeCell ref="J67:K67"/>
    <mergeCell ref="E68:I68"/>
    <mergeCell ref="J68:K68"/>
    <mergeCell ref="E63:H63"/>
    <mergeCell ref="J63:K63"/>
    <mergeCell ref="E64:H64"/>
    <mergeCell ref="J64:K64"/>
    <mergeCell ref="E65:H65"/>
    <mergeCell ref="J65:K65"/>
    <mergeCell ref="E72:I72"/>
    <mergeCell ref="J72:K72"/>
    <mergeCell ref="E73:I73"/>
    <mergeCell ref="J73:K73"/>
    <mergeCell ref="E74:I74"/>
    <mergeCell ref="J74:K74"/>
    <mergeCell ref="E69:I69"/>
    <mergeCell ref="J69:K69"/>
    <mergeCell ref="E70:I70"/>
    <mergeCell ref="J70:K70"/>
    <mergeCell ref="E71:I71"/>
    <mergeCell ref="J71:K71"/>
    <mergeCell ref="E79:I79"/>
    <mergeCell ref="J79:K79"/>
    <mergeCell ref="E80:I80"/>
    <mergeCell ref="J80:K80"/>
    <mergeCell ref="E81:I81"/>
    <mergeCell ref="J81:K81"/>
    <mergeCell ref="E75:I75"/>
    <mergeCell ref="J75:K75"/>
    <mergeCell ref="E77:I77"/>
    <mergeCell ref="J77:K77"/>
    <mergeCell ref="E78:I78"/>
    <mergeCell ref="J78:K78"/>
    <mergeCell ref="E76:I76"/>
    <mergeCell ref="J76:K76"/>
    <mergeCell ref="J82:K82"/>
    <mergeCell ref="E83:I83"/>
    <mergeCell ref="J83:K83"/>
    <mergeCell ref="E84:I84"/>
    <mergeCell ref="J84:K84"/>
    <mergeCell ref="J87:K87"/>
    <mergeCell ref="E87:I87"/>
    <mergeCell ref="E85:I85"/>
    <mergeCell ref="J85:K85"/>
    <mergeCell ref="K7:M7"/>
    <mergeCell ref="D113:M114"/>
    <mergeCell ref="D115:M116"/>
    <mergeCell ref="D119:J119"/>
    <mergeCell ref="L119:M119"/>
    <mergeCell ref="E108:K108"/>
    <mergeCell ref="E109:K109"/>
    <mergeCell ref="E110:K110"/>
    <mergeCell ref="D111:M112"/>
    <mergeCell ref="E103:I103"/>
    <mergeCell ref="J103:K103"/>
    <mergeCell ref="E106:I106"/>
    <mergeCell ref="E107:I107"/>
    <mergeCell ref="E98:I98"/>
    <mergeCell ref="J98:K98"/>
    <mergeCell ref="E99:I99"/>
    <mergeCell ref="J99:K99"/>
    <mergeCell ref="E102:I102"/>
    <mergeCell ref="J102:K102"/>
    <mergeCell ref="E95:I95"/>
    <mergeCell ref="J95:K95"/>
    <mergeCell ref="E96:I96"/>
    <mergeCell ref="J96:K96"/>
    <mergeCell ref="E97:I97"/>
    <mergeCell ref="B24:B27"/>
    <mergeCell ref="C24:E24"/>
    <mergeCell ref="K24:M24"/>
    <mergeCell ref="C25:E25"/>
    <mergeCell ref="K25:M25"/>
    <mergeCell ref="C26:E26"/>
    <mergeCell ref="K26:M26"/>
    <mergeCell ref="C27:E27"/>
    <mergeCell ref="E100:I100"/>
    <mergeCell ref="J100:K100"/>
    <mergeCell ref="E89:I89"/>
    <mergeCell ref="J89:K89"/>
    <mergeCell ref="E90:I90"/>
    <mergeCell ref="J90:K90"/>
    <mergeCell ref="E91:I91"/>
    <mergeCell ref="J91:K91"/>
    <mergeCell ref="J92:K92"/>
    <mergeCell ref="J93:K93"/>
    <mergeCell ref="J94:K94"/>
    <mergeCell ref="E86:I86"/>
    <mergeCell ref="J86:K86"/>
    <mergeCell ref="E88:I88"/>
    <mergeCell ref="J88:K88"/>
    <mergeCell ref="E82:I82"/>
    <mergeCell ref="E101:I101"/>
    <mergeCell ref="J101:K101"/>
    <mergeCell ref="E93:I93"/>
    <mergeCell ref="E92:I92"/>
    <mergeCell ref="E94:I94"/>
    <mergeCell ref="E104:I104"/>
    <mergeCell ref="E105:I105"/>
    <mergeCell ref="J104:K104"/>
    <mergeCell ref="J105:K105"/>
    <mergeCell ref="J97:K97"/>
  </mergeCells>
  <conditionalFormatting sqref="C9:E9">
    <cfRule type="cellIs" dxfId="322" priority="207" operator="equal">
      <formula>""</formula>
    </cfRule>
  </conditionalFormatting>
  <conditionalFormatting sqref="C10:E10">
    <cfRule type="cellIs" dxfId="321" priority="206" operator="equal">
      <formula>""</formula>
    </cfRule>
  </conditionalFormatting>
  <conditionalFormatting sqref="C11:E11">
    <cfRule type="cellIs" dxfId="320" priority="205" operator="equal">
      <formula>""</formula>
    </cfRule>
  </conditionalFormatting>
  <conditionalFormatting sqref="C13:E13">
    <cfRule type="cellIs" dxfId="319" priority="204" operator="equal">
      <formula>""</formula>
    </cfRule>
  </conditionalFormatting>
  <conditionalFormatting sqref="C14:E14">
    <cfRule type="cellIs" dxfId="318" priority="203" operator="equal">
      <formula>""</formula>
    </cfRule>
  </conditionalFormatting>
  <conditionalFormatting sqref="C15:E15">
    <cfRule type="cellIs" dxfId="317" priority="202" operator="equal">
      <formula>""</formula>
    </cfRule>
  </conditionalFormatting>
  <conditionalFormatting sqref="C18:E18">
    <cfRule type="cellIs" dxfId="316" priority="201" operator="equal">
      <formula>""</formula>
    </cfRule>
  </conditionalFormatting>
  <conditionalFormatting sqref="C19:E19">
    <cfRule type="cellIs" dxfId="315" priority="200" operator="equal">
      <formula>""</formula>
    </cfRule>
  </conditionalFormatting>
  <conditionalFormatting sqref="C20:E20">
    <cfRule type="cellIs" dxfId="314" priority="199" operator="equal">
      <formula>""</formula>
    </cfRule>
  </conditionalFormatting>
  <conditionalFormatting sqref="C21:E21">
    <cfRule type="cellIs" dxfId="313" priority="198" operator="equal">
      <formula>""</formula>
    </cfRule>
  </conditionalFormatting>
  <conditionalFormatting sqref="J80:K80">
    <cfRule type="cellIs" dxfId="312" priority="147" operator="equal">
      <formula>""</formula>
    </cfRule>
  </conditionalFormatting>
  <conditionalFormatting sqref="AB68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{2E26CFC5-73A6-4150-A877-F1CFCBD68F0E}</x14:id>
        </ext>
      </extLst>
    </cfRule>
  </conditionalFormatting>
  <conditionalFormatting sqref="I13">
    <cfRule type="expression" dxfId="311" priority="99">
      <formula>$N$13=2</formula>
    </cfRule>
    <cfRule type="expression" dxfId="310" priority="102">
      <formula>$N$13=1</formula>
    </cfRule>
  </conditionalFormatting>
  <conditionalFormatting sqref="L13">
    <cfRule type="expression" dxfId="309" priority="100">
      <formula>$N$13=1</formula>
    </cfRule>
    <cfRule type="expression" dxfId="308" priority="101">
      <formula>$N$13=2</formula>
    </cfRule>
  </conditionalFormatting>
  <conditionalFormatting sqref="J86:K86 J87">
    <cfRule type="cellIs" dxfId="307" priority="84" operator="equal">
      <formula>""</formula>
    </cfRule>
  </conditionalFormatting>
  <conditionalFormatting sqref="K17">
    <cfRule type="expression" dxfId="306" priority="1624">
      <formula>$N$16=13</formula>
    </cfRule>
  </conditionalFormatting>
  <conditionalFormatting sqref="A35:B35 D35:K35">
    <cfRule type="expression" dxfId="305" priority="1637">
      <formula>OR($N$17=1,$N$17=5)</formula>
    </cfRule>
  </conditionalFormatting>
  <conditionalFormatting sqref="A80:B80 D80:K80">
    <cfRule type="expression" dxfId="304" priority="1640" stopIfTrue="1">
      <formula>$N$18=1</formula>
    </cfRule>
  </conditionalFormatting>
  <conditionalFormatting sqref="C24:E24">
    <cfRule type="cellIs" dxfId="303" priority="81" operator="equal">
      <formula>""</formula>
    </cfRule>
  </conditionalFormatting>
  <conditionalFormatting sqref="C25:E25">
    <cfRule type="cellIs" dxfId="302" priority="80" operator="equal">
      <formula>""</formula>
    </cfRule>
  </conditionalFormatting>
  <conditionalFormatting sqref="C26:E26">
    <cfRule type="cellIs" dxfId="301" priority="79" operator="equal">
      <formula>""</formula>
    </cfRule>
  </conditionalFormatting>
  <conditionalFormatting sqref="C27:E27">
    <cfRule type="cellIs" dxfId="300" priority="78" operator="equal">
      <formula>""</formula>
    </cfRule>
  </conditionalFormatting>
  <conditionalFormatting sqref="K26:M26 K24:K25">
    <cfRule type="cellIs" dxfId="299" priority="77" operator="equal">
      <formula>""</formula>
    </cfRule>
  </conditionalFormatting>
  <conditionalFormatting sqref="J94:K94">
    <cfRule type="cellIs" dxfId="298" priority="67" operator="equal">
      <formula>""</formula>
    </cfRule>
  </conditionalFormatting>
  <conditionalFormatting sqref="J92:K92">
    <cfRule type="cellIs" dxfId="297" priority="56" operator="equal">
      <formula>""</formula>
    </cfRule>
  </conditionalFormatting>
  <conditionalFormatting sqref="E48">
    <cfRule type="expression" dxfId="296" priority="51">
      <formula>$N$17=2</formula>
    </cfRule>
  </conditionalFormatting>
  <conditionalFormatting sqref="K4">
    <cfRule type="cellIs" dxfId="295" priority="48" operator="equal">
      <formula>""</formula>
    </cfRule>
  </conditionalFormatting>
  <conditionalFormatting sqref="K5">
    <cfRule type="cellIs" dxfId="294" priority="47" operator="equal">
      <formula>""</formula>
    </cfRule>
  </conditionalFormatting>
  <conditionalFormatting sqref="K6">
    <cfRule type="cellIs" dxfId="293" priority="46" operator="equal">
      <formula>""</formula>
    </cfRule>
  </conditionalFormatting>
  <conditionalFormatting sqref="K7">
    <cfRule type="cellIs" dxfId="292" priority="45" operator="equal">
      <formula>""</formula>
    </cfRule>
  </conditionalFormatting>
  <conditionalFormatting sqref="A47">
    <cfRule type="expression" dxfId="291" priority="35">
      <formula>$N$17=2</formula>
    </cfRule>
  </conditionalFormatting>
  <conditionalFormatting sqref="A48">
    <cfRule type="expression" dxfId="290" priority="34">
      <formula>$N$17=2</formula>
    </cfRule>
  </conditionalFormatting>
  <conditionalFormatting sqref="A80">
    <cfRule type="expression" dxfId="289" priority="31">
      <formula>$N$18=1</formula>
    </cfRule>
  </conditionalFormatting>
  <conditionalFormatting sqref="A90:B90 D90:K90">
    <cfRule type="expression" dxfId="288" priority="83">
      <formula>OR($N$18=1,$N$18=2,$N$18=4,$N$18=5)</formula>
    </cfRule>
  </conditionalFormatting>
  <conditionalFormatting sqref="A31:A84 B108:M110 A86:A99 A106:A110 A102">
    <cfRule type="cellIs" dxfId="287" priority="17" operator="equal">
      <formula>0</formula>
    </cfRule>
  </conditionalFormatting>
  <conditionalFormatting sqref="A85">
    <cfRule type="cellIs" dxfId="286" priority="15" operator="equal">
      <formula>0</formula>
    </cfRule>
  </conditionalFormatting>
  <conditionalFormatting sqref="A103">
    <cfRule type="cellIs" dxfId="285" priority="10" operator="equal">
      <formula>0</formula>
    </cfRule>
  </conditionalFormatting>
  <conditionalFormatting sqref="A103">
    <cfRule type="cellIs" dxfId="284" priority="9" operator="equal">
      <formula>0</formula>
    </cfRule>
  </conditionalFormatting>
  <conditionalFormatting sqref="A104">
    <cfRule type="cellIs" dxfId="283" priority="8" operator="equal">
      <formula>""</formula>
    </cfRule>
  </conditionalFormatting>
  <conditionalFormatting sqref="A105">
    <cfRule type="cellIs" dxfId="282" priority="7" operator="equal">
      <formula>""</formula>
    </cfRule>
  </conditionalFormatting>
  <conditionalFormatting sqref="A100">
    <cfRule type="cellIs" dxfId="281" priority="6" operator="equal">
      <formula>0</formula>
    </cfRule>
  </conditionalFormatting>
  <conditionalFormatting sqref="A100">
    <cfRule type="cellIs" dxfId="280" priority="5" operator="equal">
      <formula>0</formula>
    </cfRule>
  </conditionalFormatting>
  <conditionalFormatting sqref="A101">
    <cfRule type="cellIs" dxfId="279" priority="3" operator="equal">
      <formula>0</formula>
    </cfRule>
  </conditionalFormatting>
  <conditionalFormatting sqref="A101">
    <cfRule type="cellIs" dxfId="278" priority="2" operator="equal">
      <formula>0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shapeId="72721" r:id="rId5">
          <objectPr defaultSize="0" autoPict="0" r:id="rId6">
            <anchor moveWithCells="1" sizeWithCells="1">
              <from>
                <xdr:col>2</xdr:col>
                <xdr:colOff>182880</xdr:colOff>
                <xdr:row>45</xdr:row>
                <xdr:rowOff>68580</xdr:rowOff>
              </from>
              <to>
                <xdr:col>2</xdr:col>
                <xdr:colOff>601980</xdr:colOff>
                <xdr:row>45</xdr:row>
                <xdr:rowOff>350520</xdr:rowOff>
              </to>
            </anchor>
          </objectPr>
        </oleObject>
      </mc:Choice>
      <mc:Fallback>
        <oleObject shapeId="72721" r:id="rId5"/>
      </mc:Fallback>
    </mc:AlternateContent>
    <mc:AlternateContent xmlns:mc="http://schemas.openxmlformats.org/markup-compatibility/2006">
      <mc:Choice Requires="x14">
        <oleObject shapeId="72722" r:id="rId7">
          <objectPr defaultSize="0" autoPict="0" r:id="rId8">
            <anchor moveWithCells="1" sizeWithCells="1">
              <from>
                <xdr:col>2</xdr:col>
                <xdr:colOff>182880</xdr:colOff>
                <xdr:row>95</xdr:row>
                <xdr:rowOff>68580</xdr:rowOff>
              </from>
              <to>
                <xdr:col>2</xdr:col>
                <xdr:colOff>601980</xdr:colOff>
                <xdr:row>95</xdr:row>
                <xdr:rowOff>350520</xdr:rowOff>
              </to>
            </anchor>
          </objectPr>
        </oleObject>
      </mc:Choice>
      <mc:Fallback>
        <oleObject shapeId="72722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9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10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9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11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12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9" r:id="rId13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0" r:id="rId14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1" r:id="rId15" name="Option Button 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3" r:id="rId16" name="Group Box 19">
              <controlPr defaultSize="0" print="0" autoFill="0" autoPict="0" altText="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4" r:id="rId17" name="Option Button 20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19</xdr:row>
                    <xdr:rowOff>7620</xdr:rowOff>
                  </from>
                  <to>
                    <xdr:col>11</xdr:col>
                    <xdr:colOff>502920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6" r:id="rId18" name="Option Button 22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15</xdr:row>
                    <xdr:rowOff>7620</xdr:rowOff>
                  </from>
                  <to>
                    <xdr:col>11</xdr:col>
                    <xdr:colOff>525780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7" r:id="rId19" name="Option Button 23">
              <controlPr locked="0" defaultSize="0" autoFill="0" autoLine="0" autoPict="0" altText="">
                <anchor moveWithCells="1">
                  <from>
                    <xdr:col>11</xdr:col>
                    <xdr:colOff>30480</xdr:colOff>
                    <xdr:row>20</xdr:row>
                    <xdr:rowOff>7620</xdr:rowOff>
                  </from>
                  <to>
                    <xdr:col>11</xdr:col>
                    <xdr:colOff>502920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8" r:id="rId20" name="Option Button 24">
              <controlPr defaultSize="0" autoFill="0" autoLine="0" autoPict="0" altText="">
                <anchor moveWithCells="1">
                  <from>
                    <xdr:col>11</xdr:col>
                    <xdr:colOff>30480</xdr:colOff>
                    <xdr:row>16</xdr:row>
                    <xdr:rowOff>7620</xdr:rowOff>
                  </from>
                  <to>
                    <xdr:col>11</xdr:col>
                    <xdr:colOff>525780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9" r:id="rId21" name="Option Button 25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19</xdr:row>
                    <xdr:rowOff>7620</xdr:rowOff>
                  </from>
                  <to>
                    <xdr:col>12</xdr:col>
                    <xdr:colOff>342900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0" r:id="rId22" name="Option Button 26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15</xdr:row>
                    <xdr:rowOff>7620</xdr:rowOff>
                  </from>
                  <to>
                    <xdr:col>12</xdr:col>
                    <xdr:colOff>350520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1" r:id="rId23" name="Option Button 27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20</xdr:row>
                    <xdr:rowOff>0</xdr:rowOff>
                  </from>
                  <to>
                    <xdr:col>12</xdr:col>
                    <xdr:colOff>342900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5" r:id="rId24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342900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6" r:id="rId25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1" r:id="rId26" name="Group Box 37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2" r:id="rId27" name="Option Button 38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3" r:id="rId28" name="Option Button 39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5" r:id="rId29" name="Group Box 21">
              <controlPr defaultSize="0" print="0" autoFill="0" autoPict="0" altText="">
                <anchor moveWithCells="1">
                  <from>
                    <xdr:col>11</xdr:col>
                    <xdr:colOff>0</xdr:colOff>
                    <xdr:row>14</xdr:row>
                    <xdr:rowOff>0</xdr:rowOff>
                  </from>
                  <to>
                    <xdr:col>13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2" r:id="rId30" name="Option Button 28">
              <controlPr defaultSize="0" autoFill="0" autoLine="0" autoPict="0" altText="">
                <anchor moveWithCells="1">
                  <from>
                    <xdr:col>11</xdr:col>
                    <xdr:colOff>792480</xdr:colOff>
                    <xdr:row>16</xdr:row>
                    <xdr:rowOff>0</xdr:rowOff>
                  </from>
                  <to>
                    <xdr:col>12</xdr:col>
                    <xdr:colOff>350520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4" r:id="rId31" name="Option Button 4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5" r:id="rId32" name="Option Button 4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6" r:id="rId33" name="Option Button 4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182880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7" r:id="rId34" name="Option Button 4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21</xdr:row>
                    <xdr:rowOff>30480</xdr:rowOff>
                  </from>
                  <to>
                    <xdr:col>7</xdr:col>
                    <xdr:colOff>182880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26CFC5-73A6-4150-A877-F1CFCBD68F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AB68</xm:sqref>
        </x14:conditionalFormatting>
        <x14:conditionalFormatting xmlns:xm="http://schemas.microsoft.com/office/excel/2006/main">
          <x14:cfRule type="expression" priority="1625" id="{31B7D49A-71C9-49B9-A5FD-B90DE1E829A8}">
            <xm:f>$J$38=Formeln!$A$174</xm:f>
            <x14:dxf>
              <font>
                <color theme="0" tint="-0.34998626667073579"/>
              </font>
            </x14:dxf>
          </x14:cfRule>
          <xm:sqref>A38:B38 D38:K38</xm:sqref>
        </x14:conditionalFormatting>
        <x14:conditionalFormatting xmlns:xm="http://schemas.microsoft.com/office/excel/2006/main">
          <x14:cfRule type="expression" priority="1635" id="{A06D5D73-E221-4860-A8F1-EA894309A746}">
            <xm:f>$J$34=Formeln!$A$174</xm:f>
            <x14:dxf>
              <font>
                <color theme="0" tint="-0.34998626667073579"/>
              </font>
            </x14:dxf>
          </x14:cfRule>
          <xm:sqref>A34:B34 D34:K34</xm:sqref>
        </x14:conditionalFormatting>
        <x14:conditionalFormatting xmlns:xm="http://schemas.microsoft.com/office/excel/2006/main">
          <x14:cfRule type="expression" priority="1638" id="{D8DA0A97-7319-4B01-989B-2D6687347545}">
            <xm:f>$J$36=Formeln!$A$174</xm:f>
            <x14:dxf>
              <font>
                <color theme="0" tint="-0.34998626667073579"/>
              </font>
            </x14:dxf>
          </x14:cfRule>
          <xm:sqref>A36:B36 D36:K36</xm:sqref>
        </x14:conditionalFormatting>
        <x14:conditionalFormatting xmlns:xm="http://schemas.microsoft.com/office/excel/2006/main">
          <x14:cfRule type="expression" priority="1639" id="{98F8FF7C-2169-4A03-9753-B2C011BADED1}">
            <xm:f>$J$49=Formeln!$A$174</xm:f>
            <x14:dxf>
              <font>
                <color theme="0" tint="-0.34998626667073579"/>
              </font>
            </x14:dxf>
          </x14:cfRule>
          <xm:sqref>A49:B49 D49:K49</xm:sqref>
        </x14:conditionalFormatting>
        <x14:conditionalFormatting xmlns:xm="http://schemas.microsoft.com/office/excel/2006/main">
          <x14:cfRule type="expression" priority="33" id="{015ADB5A-BB46-430A-9F39-4912A7C01546}">
            <xm:f>$J$48=Formeln!$A$174</xm:f>
            <x14:dxf>
              <font>
                <color theme="0" tint="-0.24994659260841701"/>
              </font>
            </x14:dxf>
          </x14:cfRule>
          <xm:sqref>A48:B48 D48:K48</xm:sqref>
        </x14:conditionalFormatting>
        <x14:conditionalFormatting xmlns:xm="http://schemas.microsoft.com/office/excel/2006/main">
          <x14:cfRule type="expression" priority="32" id="{E2F7BB90-A291-4BCB-871B-9581BB9CEFC8}">
            <xm:f>$J$47=Formeln!$A$174</xm:f>
            <x14:dxf>
              <font>
                <color theme="0" tint="-0.34998626667073579"/>
              </font>
            </x14:dxf>
          </x14:cfRule>
          <xm:sqref>A47:B47 D47:K47</xm:sqref>
        </x14:conditionalFormatting>
        <x14:conditionalFormatting xmlns:xm="http://schemas.microsoft.com/office/excel/2006/main">
          <x14:cfRule type="expression" priority="27" id="{FE3FF057-C900-4248-9FA4-EE7F32D1CEB7}">
            <xm:f>$J$31=Formeln!$A$174</xm:f>
            <x14:dxf>
              <font>
                <color theme="0" tint="-0.34998626667073579"/>
              </font>
            </x14:dxf>
          </x14:cfRule>
          <xm:sqref>A31:B31 D31:K31</xm:sqref>
        </x14:conditionalFormatting>
        <x14:conditionalFormatting xmlns:xm="http://schemas.microsoft.com/office/excel/2006/main">
          <x14:cfRule type="expression" priority="26" id="{DE33A216-E57C-45D5-842A-B6341BA3487A}">
            <xm:f>$J$32=Formeln!$A$174</xm:f>
            <x14:dxf>
              <font>
                <color theme="0" tint="-0.34998626667073579"/>
              </font>
            </x14:dxf>
          </x14:cfRule>
          <xm:sqref>A32:B32 D32:K32</xm:sqref>
        </x14:conditionalFormatting>
        <x14:conditionalFormatting xmlns:xm="http://schemas.microsoft.com/office/excel/2006/main">
          <x14:cfRule type="expression" priority="25" id="{4FCBAB69-EE9D-41C6-8C8D-400A1359692A}">
            <xm:f>$J$39=Formeln!$A$174</xm:f>
            <x14:dxf>
              <font>
                <color theme="0" tint="-0.34998626667073579"/>
              </font>
            </x14:dxf>
          </x14:cfRule>
          <xm:sqref>A39:B39 D39:K39</xm:sqref>
        </x14:conditionalFormatting>
        <x14:conditionalFormatting xmlns:xm="http://schemas.microsoft.com/office/excel/2006/main">
          <x14:cfRule type="expression" priority="24" id="{6B34CD5E-5AA4-497A-8CBF-B9BFF32670E6}">
            <xm:f>$J$40=Formeln!$A$174</xm:f>
            <x14:dxf>
              <font>
                <color theme="0" tint="-0.34998626667073579"/>
              </font>
            </x14:dxf>
          </x14:cfRule>
          <xm:sqref>A40:B40 E40:K40</xm:sqref>
        </x14:conditionalFormatting>
        <x14:conditionalFormatting xmlns:xm="http://schemas.microsoft.com/office/excel/2006/main">
          <x14:cfRule type="expression" priority="23" id="{392999CE-C5BC-4354-9300-1341BE05717B}">
            <xm:f>$J$41=Formeln!$A$174</xm:f>
            <x14:dxf>
              <font>
                <color theme="0" tint="-0.34998626667073579"/>
              </font>
            </x14:dxf>
          </x14:cfRule>
          <xm:sqref>A41:B41 D41:K41</xm:sqref>
        </x14:conditionalFormatting>
        <x14:conditionalFormatting xmlns:xm="http://schemas.microsoft.com/office/excel/2006/main">
          <x14:cfRule type="expression" priority="22" id="{77BFD5A5-051B-4351-B265-4BD1DFCF2A4B}">
            <xm:f>$J$42=Formeln!$A$174</xm:f>
            <x14:dxf>
              <font>
                <color theme="0" tint="-0.34998626667073579"/>
              </font>
            </x14:dxf>
          </x14:cfRule>
          <xm:sqref>A42:B42 D42:K42</xm:sqref>
        </x14:conditionalFormatting>
        <x14:conditionalFormatting xmlns:xm="http://schemas.microsoft.com/office/excel/2006/main">
          <x14:cfRule type="expression" priority="145" id="{1CD33345-A691-4B95-803B-34DEE002EC2E}">
            <xm:f>$J$33=Formeln!$A$1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144" id="{B8B3C658-E71A-4D70-9034-CA088EFE2A0F}">
            <xm:f>$J$35=Formeln!$A$1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J35:K35</xm:sqref>
        </x14:conditionalFormatting>
        <x14:conditionalFormatting xmlns:xm="http://schemas.microsoft.com/office/excel/2006/main">
          <x14:cfRule type="expression" priority="142" id="{96D92AA0-9368-4880-A4BA-5D38692BE9D0}">
            <xm:f>$J$63=Formeln!$A$1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J63:K63</xm:sqref>
        </x14:conditionalFormatting>
        <x14:conditionalFormatting xmlns:xm="http://schemas.microsoft.com/office/excel/2006/main">
          <x14:cfRule type="expression" priority="141" id="{FB6303C5-DA45-4E29-9F2D-1F2356A20B8E}">
            <xm:f>$J$67=Formeln!$A$1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J67:K67</xm:sqref>
        </x14:conditionalFormatting>
        <x14:conditionalFormatting xmlns:xm="http://schemas.microsoft.com/office/excel/2006/main">
          <x14:cfRule type="expression" priority="210" id="{AAC574F2-7D81-4D8B-9E9E-FB5D56EE720F}">
            <xm:f>$J$54=Formeln!$A$174</xm:f>
            <x14:dxf>
              <font>
                <color theme="0" tint="-0.34998626667073579"/>
              </font>
            </x14:dxf>
          </x14:cfRule>
          <xm:sqref>A54:B54 D54:K54</xm:sqref>
        </x14:conditionalFormatting>
        <x14:conditionalFormatting xmlns:xm="http://schemas.microsoft.com/office/excel/2006/main">
          <x14:cfRule type="expression" priority="211" id="{A6C6EEA4-BAE1-412E-AC94-11757E8EE50A}">
            <xm:f>$J$81=Formeln!$A$174</xm:f>
            <x14:dxf>
              <font>
                <color theme="0" tint="-0.24994659260841701"/>
              </font>
            </x14:dxf>
          </x14:cfRule>
          <xm:sqref>A81:B81 D81:K81</xm:sqref>
        </x14:conditionalFormatting>
        <x14:conditionalFormatting xmlns:xm="http://schemas.microsoft.com/office/excel/2006/main">
          <x14:cfRule type="expression" priority="212" id="{6BBC25C7-AE24-4C58-9FA9-6172698C5457}">
            <xm:f>$J$43=Formeln!$A$174</xm:f>
            <x14:dxf>
              <font>
                <color theme="0" tint="-0.24994659260841701"/>
              </font>
            </x14:dxf>
          </x14:cfRule>
          <xm:sqref>A43:B43 D43:K43</xm:sqref>
        </x14:conditionalFormatting>
        <x14:conditionalFormatting xmlns:xm="http://schemas.microsoft.com/office/excel/2006/main">
          <x14:cfRule type="expression" priority="213" id="{C35BF913-712F-417C-B0A2-EA7BC189727D}">
            <xm:f>$J$44=Formeln!$A$174</xm:f>
            <x14:dxf>
              <font>
                <color theme="0" tint="-0.34998626667073579"/>
              </font>
            </x14:dxf>
          </x14:cfRule>
          <xm:sqref>A44:C44 E44:K44</xm:sqref>
        </x14:conditionalFormatting>
        <x14:conditionalFormatting xmlns:xm="http://schemas.microsoft.com/office/excel/2006/main">
          <x14:cfRule type="expression" priority="214" id="{CF63EF5A-7828-4F2C-B04D-B2B5641B9342}">
            <xm:f>$J$50=Formeln!$A$174</xm:f>
            <x14:dxf>
              <font>
                <color theme="0" tint="-0.34998626667073579"/>
              </font>
            </x14:dxf>
          </x14:cfRule>
          <xm:sqref>A50:B50 D50:K50</xm:sqref>
        </x14:conditionalFormatting>
        <x14:conditionalFormatting xmlns:xm="http://schemas.microsoft.com/office/excel/2006/main">
          <x14:cfRule type="expression" priority="215" id="{477E9AEC-1614-4430-A133-B1A67DD97F17}">
            <xm:f>$J$51=Formeln!$A$174</xm:f>
            <x14:dxf>
              <font>
                <color theme="0" tint="-0.34998626667073579"/>
              </font>
            </x14:dxf>
          </x14:cfRule>
          <xm:sqref>A51:B51 D51:K51</xm:sqref>
        </x14:conditionalFormatting>
        <x14:conditionalFormatting xmlns:xm="http://schemas.microsoft.com/office/excel/2006/main">
          <x14:cfRule type="expression" priority="216" id="{2DF16B30-D490-4204-B8B3-DF31977E2178}">
            <xm:f>$J$52=Formeln!$A$174</xm:f>
            <x14:dxf>
              <font>
                <color theme="0" tint="-0.34998626667073579"/>
              </font>
            </x14:dxf>
          </x14:cfRule>
          <xm:sqref>A52:B52 D52:K52</xm:sqref>
        </x14:conditionalFormatting>
        <x14:conditionalFormatting xmlns:xm="http://schemas.microsoft.com/office/excel/2006/main">
          <x14:cfRule type="expression" priority="217" id="{4CF16E65-D4B2-4C56-B3B2-FF395EAC64DF}">
            <xm:f>$J$59=Formeln!$A$174</xm:f>
            <x14:dxf>
              <font>
                <color theme="0" tint="-0.34998626667073579"/>
              </font>
            </x14:dxf>
          </x14:cfRule>
          <xm:sqref>A59:B59 D59:K59</xm:sqref>
        </x14:conditionalFormatting>
        <x14:conditionalFormatting xmlns:xm="http://schemas.microsoft.com/office/excel/2006/main">
          <x14:cfRule type="expression" priority="218" id="{7E96B946-5DEE-470C-9EF9-59CA78571EB8}">
            <xm:f>$J$77=Formeln!$A$174</xm:f>
            <x14:dxf>
              <font>
                <color theme="0" tint="-0.24994659260841701"/>
              </font>
            </x14:dxf>
          </x14:cfRule>
          <xm:sqref>A77:B77 D77:K77</xm:sqref>
        </x14:conditionalFormatting>
        <x14:conditionalFormatting xmlns:xm="http://schemas.microsoft.com/office/excel/2006/main">
          <x14:cfRule type="expression" priority="219" id="{D04D1DDB-9C6F-442E-B622-2B14A38103F8}">
            <xm:f>$J$78=Formeln!$A$174</xm:f>
            <x14:dxf>
              <font>
                <color theme="0" tint="-0.24994659260841701"/>
              </font>
            </x14:dxf>
          </x14:cfRule>
          <xm:sqref>A78:B78 D78:K78</xm:sqref>
        </x14:conditionalFormatting>
        <x14:conditionalFormatting xmlns:xm="http://schemas.microsoft.com/office/excel/2006/main">
          <x14:cfRule type="expression" priority="220" id="{F279DC59-194E-43DF-8E24-16D8B89657D6}">
            <xm:f>$J$73=Formeln!$A$174</xm:f>
            <x14:dxf>
              <font>
                <color theme="0" tint="-0.24994659260841701"/>
              </font>
            </x14:dxf>
          </x14:cfRule>
          <xm:sqref>A73:B73 D73:K73</xm:sqref>
        </x14:conditionalFormatting>
        <x14:conditionalFormatting xmlns:xm="http://schemas.microsoft.com/office/excel/2006/main">
          <x14:cfRule type="expression" priority="221" id="{7CC8CC1D-4579-410D-839C-9BA0C1D33B64}">
            <xm:f>$J$74=Formeln!$A$174</xm:f>
            <x14:dxf>
              <font>
                <color theme="0" tint="-0.24994659260841701"/>
              </font>
            </x14:dxf>
          </x14:cfRule>
          <xm:sqref>A74:B74 D74:K74</xm:sqref>
        </x14:conditionalFormatting>
        <x14:conditionalFormatting xmlns:xm="http://schemas.microsoft.com/office/excel/2006/main">
          <x14:cfRule type="expression" priority="222" id="{A66F4046-8FCA-42C5-8499-F3B9725784BB}">
            <xm:f>$J$75=Formeln!$A$174</xm:f>
            <x14:dxf>
              <font>
                <color theme="0" tint="-0.24994659260841701"/>
              </font>
            </x14:dxf>
          </x14:cfRule>
          <xm:sqref>A75:B75 D75:K75 D79:K79</xm:sqref>
        </x14:conditionalFormatting>
        <x14:conditionalFormatting xmlns:xm="http://schemas.microsoft.com/office/excel/2006/main">
          <x14:cfRule type="expression" priority="223" id="{6AC61645-C674-4F6F-A3CF-80D93F0DAE0A}">
            <xm:f>$J$60=Formeln!$A$174</xm:f>
            <x14:dxf>
              <font>
                <color theme="0" tint="-0.24994659260841701"/>
              </font>
            </x14:dxf>
          </x14:cfRule>
          <xm:sqref>A60:B60 D60:K60</xm:sqref>
        </x14:conditionalFormatting>
        <x14:conditionalFormatting xmlns:xm="http://schemas.microsoft.com/office/excel/2006/main">
          <x14:cfRule type="expression" priority="224" id="{0AB2FC65-7303-4AB5-AE9C-AE9083EB6421}">
            <xm:f>$J$61=Formeln!$A$174</xm:f>
            <x14:dxf>
              <font>
                <color theme="0" tint="-0.24994659260841701"/>
              </font>
            </x14:dxf>
          </x14:cfRule>
          <xm:sqref>A61:B61 D61:K61</xm:sqref>
        </x14:conditionalFormatting>
        <x14:conditionalFormatting xmlns:xm="http://schemas.microsoft.com/office/excel/2006/main">
          <x14:cfRule type="expression" priority="225" id="{6DECCA6C-5C3E-4F23-8F83-78D57F8BB7ED}">
            <xm:f>$J$83=Formeln!$A$174</xm:f>
            <x14:dxf>
              <font>
                <color theme="0" tint="-0.24994659260841701"/>
              </font>
            </x14:dxf>
          </x14:cfRule>
          <xm:sqref>A83:B83 D83:K83</xm:sqref>
        </x14:conditionalFormatting>
        <x14:conditionalFormatting xmlns:xm="http://schemas.microsoft.com/office/excel/2006/main">
          <x14:cfRule type="expression" priority="226" id="{E63441D7-74E8-4C25-96BB-CD42C303A0D3}">
            <xm:f>$J$84=Formeln!$A$174</xm:f>
            <x14:dxf>
              <font>
                <color theme="0" tint="-0.24994659260841701"/>
              </font>
            </x14:dxf>
          </x14:cfRule>
          <xm:sqref>A84:B84 D84:K84</xm:sqref>
        </x14:conditionalFormatting>
        <x14:conditionalFormatting xmlns:xm="http://schemas.microsoft.com/office/excel/2006/main">
          <x14:cfRule type="expression" priority="227" id="{146EFE11-5EAE-4B28-A343-975A02CEA052}">
            <xm:f>$J$88=Formeln!$A$174</xm:f>
            <x14:dxf>
              <font>
                <color theme="0" tint="-0.24994659260841701"/>
              </font>
            </x14:dxf>
          </x14:cfRule>
          <xm:sqref>A88:B88 D88:K88</xm:sqref>
        </x14:conditionalFormatting>
        <x14:conditionalFormatting xmlns:xm="http://schemas.microsoft.com/office/excel/2006/main">
          <x14:cfRule type="expression" priority="228" id="{601EF4DF-8BA4-47D7-8590-8F7753F111C5}">
            <xm:f>$J$89=Formeln!$A$174</xm:f>
            <x14:dxf>
              <font>
                <color theme="0" tint="-0.24994659260841701"/>
              </font>
            </x14:dxf>
          </x14:cfRule>
          <xm:sqref>M89 B89:K89</xm:sqref>
        </x14:conditionalFormatting>
        <x14:conditionalFormatting xmlns:xm="http://schemas.microsoft.com/office/excel/2006/main">
          <x14:cfRule type="expression" priority="229" id="{F7934F10-656E-4A3D-B5BF-E989601AEBB9}">
            <xm:f>$J$89=Formeln!$A$174</xm:f>
            <x14:dxf>
              <font>
                <color theme="0" tint="-0.24994659260841701"/>
              </font>
            </x14:dxf>
          </x14:cfRule>
          <xm:sqref>A89:B89</xm:sqref>
        </x14:conditionalFormatting>
        <x14:conditionalFormatting xmlns:xm="http://schemas.microsoft.com/office/excel/2006/main">
          <x14:cfRule type="expression" priority="230" id="{DC23C48A-D1FA-4B5A-8A1B-8094E5C52AFA}">
            <xm:f>$J$91=Formeln!$A$174</xm:f>
            <x14:dxf>
              <font>
                <color theme="0" tint="-0.24994659260841701"/>
              </font>
            </x14:dxf>
          </x14:cfRule>
          <xm:sqref>A91:B91 D91:K91</xm:sqref>
        </x14:conditionalFormatting>
        <x14:conditionalFormatting xmlns:xm="http://schemas.microsoft.com/office/excel/2006/main">
          <x14:cfRule type="expression" priority="231" id="{C8D4C6E0-16F3-4B23-B695-86600EB32E01}">
            <xm:f>$J$96=Formeln!$A$174</xm:f>
            <x14:dxf>
              <font>
                <color theme="0" tint="-0.24994659260841701"/>
              </font>
            </x14:dxf>
          </x14:cfRule>
          <xm:sqref>A96:B96 D96:K96</xm:sqref>
        </x14:conditionalFormatting>
        <x14:conditionalFormatting xmlns:xm="http://schemas.microsoft.com/office/excel/2006/main">
          <x14:cfRule type="expression" priority="232" id="{D030417B-17DB-43D3-A2DF-5DB4257A0F46}">
            <xm:f>$J$97=Formeln!$A$174</xm:f>
            <x14:dxf>
              <font>
                <color theme="0" tint="-0.24994659260841701"/>
              </font>
            </x14:dxf>
          </x14:cfRule>
          <xm:sqref>A97:B97 D97:K97</xm:sqref>
        </x14:conditionalFormatting>
        <x14:conditionalFormatting xmlns:xm="http://schemas.microsoft.com/office/excel/2006/main">
          <x14:cfRule type="expression" priority="233" id="{770D7506-7B4E-42AB-8E9F-B0F3EA2AAA65}">
            <xm:f>$J$98=Formeln!$A$174</xm:f>
            <x14:dxf>
              <font>
                <color theme="0" tint="-0.24994659260841701"/>
              </font>
            </x14:dxf>
          </x14:cfRule>
          <xm:sqref>A98:B98 D98:K98</xm:sqref>
        </x14:conditionalFormatting>
        <x14:conditionalFormatting xmlns:xm="http://schemas.microsoft.com/office/excel/2006/main">
          <x14:cfRule type="expression" priority="234" id="{F00D2CFB-E84F-4144-B3CC-4418257D5FBD}">
            <xm:f>$J$99=Formeln!$A$174</xm:f>
            <x14:dxf>
              <font>
                <color theme="0" tint="-0.24994659260841701"/>
              </font>
            </x14:dxf>
          </x14:cfRule>
          <xm:sqref>A99:B99 D99:K99</xm:sqref>
        </x14:conditionalFormatting>
        <x14:conditionalFormatting xmlns:xm="http://schemas.microsoft.com/office/excel/2006/main">
          <x14:cfRule type="expression" priority="122" id="{B3B38BB3-5DE2-4BD6-81FA-6CE45945C86A}">
            <xm:f>$J$54=Formeln!$A$174</xm:f>
            <x14:dxf>
              <font>
                <color theme="0" tint="-0.24994659260841701"/>
              </font>
            </x14:dxf>
          </x14:cfRule>
          <xm:sqref>D54</xm:sqref>
        </x14:conditionalFormatting>
        <x14:conditionalFormatting xmlns:xm="http://schemas.microsoft.com/office/excel/2006/main">
          <x14:cfRule type="expression" priority="123" id="{DCEA48A0-9D67-4E6F-ACB3-60066DE9BC21}">
            <xm:f>$J$81=Formeln!$A$174</xm:f>
            <x14:dxf>
              <font>
                <color theme="0" tint="-0.24994659260841701"/>
              </font>
            </x14:dxf>
          </x14:cfRule>
          <xm:sqref>D81</xm:sqref>
        </x14:conditionalFormatting>
        <x14:conditionalFormatting xmlns:xm="http://schemas.microsoft.com/office/excel/2006/main">
          <x14:cfRule type="expression" priority="124" id="{BDD58534-7F3E-4D85-A584-B2FE3FB495C2}">
            <xm:f>$J$43=Formeln!$A$174</xm:f>
            <x14:dxf>
              <font>
                <color theme="0" tint="-0.24994659260841701"/>
              </font>
            </x14:dxf>
          </x14:cfRule>
          <xm:sqref>D43</xm:sqref>
        </x14:conditionalFormatting>
        <x14:conditionalFormatting xmlns:xm="http://schemas.microsoft.com/office/excel/2006/main">
          <x14:cfRule type="expression" priority="125" id="{CE4235F8-524C-4919-9D3B-970D4931E4F6}">
            <xm:f>$J$44=Formeln!$A$174</xm:f>
            <x14:dxf>
              <font>
                <color theme="0" tint="-0.24994659260841701"/>
              </font>
            </x14:dxf>
          </x14:cfRule>
          <xm:sqref>D44</xm:sqref>
        </x14:conditionalFormatting>
        <x14:conditionalFormatting xmlns:xm="http://schemas.microsoft.com/office/excel/2006/main">
          <x14:cfRule type="expression" priority="126" id="{3A369BDB-F0A0-4AD0-8F59-1EDFA826F50B}">
            <xm:f>$J$50=Formeln!$A$174</xm:f>
            <x14:dxf>
              <font>
                <color theme="0" tint="-0.24994659260841701"/>
              </font>
            </x14:dxf>
          </x14:cfRule>
          <xm:sqref>D50</xm:sqref>
        </x14:conditionalFormatting>
        <x14:conditionalFormatting xmlns:xm="http://schemas.microsoft.com/office/excel/2006/main">
          <x14:cfRule type="expression" priority="127" id="{F3650292-5A73-454F-AD11-D6E470481612}">
            <xm:f>$J$51=Formeln!$A$174</xm:f>
            <x14:dxf>
              <font>
                <color theme="0" tint="-0.24994659260841701"/>
              </font>
            </x14:dxf>
          </x14:cfRule>
          <xm:sqref>D51</xm:sqref>
        </x14:conditionalFormatting>
        <x14:conditionalFormatting xmlns:xm="http://schemas.microsoft.com/office/excel/2006/main">
          <x14:cfRule type="expression" priority="128" id="{B87FE91F-E04F-4272-A07E-9F0EBCEBBC5F}">
            <xm:f>$J$52=Formeln!$A$174</xm:f>
            <x14:dxf>
              <font>
                <color theme="0" tint="-0.24994659260841701"/>
              </font>
            </x14:dxf>
          </x14:cfRule>
          <xm:sqref>D52:D53</xm:sqref>
        </x14:conditionalFormatting>
        <x14:conditionalFormatting xmlns:xm="http://schemas.microsoft.com/office/excel/2006/main">
          <x14:cfRule type="expression" priority="129" id="{8BC88737-74EA-432E-8904-A6764CA89EF1}">
            <xm:f>$J$59=Formeln!$A$174</xm:f>
            <x14:dxf>
              <font>
                <color theme="0" tint="-0.24994659260841701"/>
              </font>
            </x14:dxf>
          </x14:cfRule>
          <xm:sqref>D59</xm:sqref>
        </x14:conditionalFormatting>
        <x14:conditionalFormatting xmlns:xm="http://schemas.microsoft.com/office/excel/2006/main">
          <x14:cfRule type="expression" priority="130" id="{3925799D-F6CC-4C7E-813A-F22180E8D25E}">
            <xm:f>$J$60=Formeln!$A$174</xm:f>
            <x14:dxf>
              <font>
                <color theme="0" tint="-0.24994659260841701"/>
              </font>
            </x14:dxf>
          </x14:cfRule>
          <xm:sqref>D60</xm:sqref>
        </x14:conditionalFormatting>
        <x14:conditionalFormatting xmlns:xm="http://schemas.microsoft.com/office/excel/2006/main">
          <x14:cfRule type="expression" priority="131" id="{A22A3004-C748-426A-8618-C3E0C139878D}">
            <xm:f>$J$61=Formeln!$A$174</xm:f>
            <x14:dxf>
              <font>
                <color theme="0" tint="-0.24994659260841701"/>
              </font>
            </x14:dxf>
          </x14:cfRule>
          <xm:sqref>D61</xm:sqref>
        </x14:conditionalFormatting>
        <x14:conditionalFormatting xmlns:xm="http://schemas.microsoft.com/office/excel/2006/main">
          <x14:cfRule type="expression" priority="133" id="{7B0DB383-564B-4860-AA21-4CEE7DB8A01C}">
            <xm:f>$J$96=Formeln!$A$174</xm:f>
            <x14:dxf>
              <font>
                <color theme="0" tint="-0.24994659260841701"/>
              </font>
            </x14:dxf>
          </x14:cfRule>
          <xm:sqref>D96</xm:sqref>
        </x14:conditionalFormatting>
        <x14:conditionalFormatting xmlns:xm="http://schemas.microsoft.com/office/excel/2006/main">
          <x14:cfRule type="expression" priority="110" id="{FD6EF694-B447-4389-BED6-AF41807B78E2}">
            <xm:f>$J$59=Formeln!$A$174</xm:f>
            <x14:dxf>
              <font>
                <color theme="0" tint="-0.24994659260841701"/>
              </font>
            </x14:dxf>
          </x14:cfRule>
          <xm:sqref>D88</xm:sqref>
        </x14:conditionalFormatting>
        <x14:conditionalFormatting xmlns:xm="http://schemas.microsoft.com/office/excel/2006/main">
          <x14:cfRule type="expression" priority="109" id="{8AFA0AAE-C6AC-49C3-A159-0ADCF01D6219}">
            <xm:f>$J$59=Formeln!$A$174</xm:f>
            <x14:dxf>
              <font>
                <color theme="0" tint="-0.24994659260841701"/>
              </font>
            </x14:dxf>
          </x14:cfRule>
          <xm:sqref>D89</xm:sqref>
        </x14:conditionalFormatting>
        <x14:conditionalFormatting xmlns:xm="http://schemas.microsoft.com/office/excel/2006/main">
          <x14:cfRule type="expression" priority="106" id="{71F4F160-9ABE-4AD9-90BE-0BBB67C73314}">
            <xm:f>$J$96=Formeln!$A$174</xm:f>
            <x14:dxf>
              <font>
                <color theme="0" tint="-0.24994659260841701"/>
              </font>
            </x14:dxf>
          </x14:cfRule>
          <xm:sqref>D99</xm:sqref>
        </x14:conditionalFormatting>
        <x14:conditionalFormatting xmlns:xm="http://schemas.microsoft.com/office/excel/2006/main">
          <x14:cfRule type="expression" priority="108" id="{C31851DD-EF92-4C90-8D83-1B0B011C95BA}">
            <xm:f>$J$96=Formeln!$A$174</xm:f>
            <x14:dxf>
              <font>
                <color theme="0" tint="-0.24994659260841701"/>
              </font>
            </x14:dxf>
          </x14:cfRule>
          <xm:sqref>D98</xm:sqref>
        </x14:conditionalFormatting>
        <x14:conditionalFormatting xmlns:xm="http://schemas.microsoft.com/office/excel/2006/main">
          <x14:cfRule type="expression" priority="107" id="{8FA94C1C-4A29-4956-A225-4E668B461B46}">
            <xm:f>$J$96=Formeln!$A$174</xm:f>
            <x14:dxf>
              <font>
                <color theme="0" tint="-0.24994659260841701"/>
              </font>
            </x14:dxf>
          </x14:cfRule>
          <xm:sqref>D97</xm:sqref>
        </x14:conditionalFormatting>
        <x14:conditionalFormatting xmlns:xm="http://schemas.microsoft.com/office/excel/2006/main">
          <x14:cfRule type="expression" priority="92" id="{CED06D55-0062-4A09-86B2-080D20E17405}">
            <xm:f>$J$64=Formeln!$A$1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J64:K64</xm:sqref>
        </x14:conditionalFormatting>
        <x14:conditionalFormatting xmlns:xm="http://schemas.microsoft.com/office/excel/2006/main">
          <x14:cfRule type="expression" priority="91" id="{37665CF9-08E2-4E75-BB47-6D4E6AF6E570}">
            <xm:f>$J$65=Formeln!$A$1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J65:K65</xm:sqref>
        </x14:conditionalFormatting>
        <x14:conditionalFormatting xmlns:xm="http://schemas.microsoft.com/office/excel/2006/main">
          <x14:cfRule type="expression" priority="87" id="{C34B6D95-0295-43EB-9976-ABD065AC4B2A}">
            <xm:f>$J$75=Formeln!$A$174</xm:f>
            <x14:dxf>
              <font>
                <color theme="0" tint="-0.24994659260841701"/>
              </font>
            </x14:dxf>
          </x14:cfRule>
          <xm:sqref>A79:B79</xm:sqref>
        </x14:conditionalFormatting>
        <x14:conditionalFormatting xmlns:xm="http://schemas.microsoft.com/office/excel/2006/main">
          <x14:cfRule type="expression" priority="86" id="{ABC7DAD1-35DD-4C27-9850-CC53A2B92D37}">
            <xm:f>$J$84=Formeln!$A$174</xm:f>
            <x14:dxf>
              <font>
                <color theme="0" tint="-0.24994659260841701"/>
              </font>
            </x14:dxf>
          </x14:cfRule>
          <xm:sqref>B86:B87</xm:sqref>
        </x14:conditionalFormatting>
        <x14:conditionalFormatting xmlns:xm="http://schemas.microsoft.com/office/excel/2006/main">
          <x14:cfRule type="expression" priority="71" id="{A802D043-18D6-4739-8323-F56CCE7EF1A4}">
            <xm:f>$J$102=Formeln!$A$174</xm:f>
            <x14:dxf>
              <font>
                <color theme="0" tint="-0.24994659260841701"/>
              </font>
            </x14:dxf>
          </x14:cfRule>
          <xm:sqref>M92</xm:sqref>
        </x14:conditionalFormatting>
        <x14:conditionalFormatting xmlns:xm="http://schemas.microsoft.com/office/excel/2006/main">
          <x14:cfRule type="expression" priority="68" id="{A737B1DB-A428-4B9B-9B9E-4F2CC92091E6}">
            <xm:f>$J$84=Formeln!$A$174</xm:f>
            <x14:dxf>
              <font>
                <color theme="0" tint="-0.24994659260841701"/>
              </font>
            </x14:dxf>
          </x14:cfRule>
          <xm:sqref>J94:K94</xm:sqref>
        </x14:conditionalFormatting>
        <x14:conditionalFormatting xmlns:xm="http://schemas.microsoft.com/office/excel/2006/main">
          <x14:cfRule type="expression" priority="57" id="{427E75FA-614E-4AC0-BC68-8BA8CAEEE2BA}">
            <xm:f>$J$84=Formeln!$A$174</xm:f>
            <x14:dxf>
              <font>
                <color theme="0" tint="-0.24994659260841701"/>
              </font>
            </x14:dxf>
          </x14:cfRule>
          <xm:sqref>J92:K92</xm:sqref>
        </x14:conditionalFormatting>
        <x14:conditionalFormatting xmlns:xm="http://schemas.microsoft.com/office/excel/2006/main">
          <x14:cfRule type="expression" priority="55" id="{CCB5D509-E9B4-41B0-84AC-CAAAA1E29FFD}">
            <xm:f>$J$96=Formeln!$A$174</xm:f>
            <x14:dxf>
              <font>
                <color theme="0" tint="-0.24994659260841701"/>
              </font>
            </x14:dxf>
          </x14:cfRule>
          <xm:sqref>J93:K93</xm:sqref>
        </x14:conditionalFormatting>
        <x14:conditionalFormatting xmlns:xm="http://schemas.microsoft.com/office/excel/2006/main">
          <x14:cfRule type="expression" priority="44" id="{32D40194-9EB6-46CB-BCCE-DD86A4D29144}">
            <xm:f>$J$60=Formeln!$A$174</xm:f>
            <x14:dxf>
              <font>
                <color theme="0" tint="-0.24994659260841701"/>
              </font>
            </x14:dxf>
          </x14:cfRule>
          <xm:sqref>A60</xm:sqref>
        </x14:conditionalFormatting>
        <x14:conditionalFormatting xmlns:xm="http://schemas.microsoft.com/office/excel/2006/main">
          <x14:cfRule type="expression" priority="43" id="{1A2D90BF-099C-47A4-908A-FAA496A10796}">
            <xm:f>$J$60=Formeln!$A$174</xm:f>
            <x14:dxf>
              <font>
                <color theme="0" tint="-0.24994659260841701"/>
              </font>
            </x14:dxf>
          </x14:cfRule>
          <xm:sqref>L60</xm:sqref>
        </x14:conditionalFormatting>
        <x14:conditionalFormatting xmlns:xm="http://schemas.microsoft.com/office/excel/2006/main">
          <x14:cfRule type="expression" priority="42" id="{A09DD529-3A6A-46C9-8870-029FCB9D783D}">
            <xm:f>$J$54=Formeln!$A$174</xm:f>
            <x14:dxf>
              <font>
                <color theme="0" tint="-0.24994659260841701"/>
              </font>
            </x14:dxf>
          </x14:cfRule>
          <xm:sqref>A54</xm:sqref>
        </x14:conditionalFormatting>
        <x14:conditionalFormatting xmlns:xm="http://schemas.microsoft.com/office/excel/2006/main">
          <x14:cfRule type="expression" priority="41" id="{EC9D6309-0FD4-4B37-B191-3B10D3904B99}">
            <xm:f>$J$54=Formeln!$A$174</xm:f>
            <x14:dxf>
              <font>
                <color theme="0" tint="-0.24994659260841701"/>
              </font>
            </x14:dxf>
          </x14:cfRule>
          <xm:sqref>L54</xm:sqref>
        </x14:conditionalFormatting>
        <x14:conditionalFormatting xmlns:xm="http://schemas.microsoft.com/office/excel/2006/main">
          <x14:cfRule type="expression" priority="40" id="{3A1E9F37-43C0-458A-AC12-9016DCD2A34B}">
            <xm:f>$J$61=Formeln!$A$174</xm:f>
            <x14:dxf>
              <font>
                <color theme="0" tint="-0.24994659260841701"/>
              </font>
            </x14:dxf>
          </x14:cfRule>
          <xm:sqref>A61</xm:sqref>
        </x14:conditionalFormatting>
        <x14:conditionalFormatting xmlns:xm="http://schemas.microsoft.com/office/excel/2006/main">
          <x14:cfRule type="expression" priority="39" id="{777C366D-3F20-4349-96C3-C4D6F2727F5B}">
            <xm:f>$J$97=Formeln!$A$174</xm:f>
            <x14:dxf>
              <font>
                <color theme="0" tint="-0.24994659260841701"/>
              </font>
            </x14:dxf>
          </x14:cfRule>
          <xm:sqref>A97</xm:sqref>
        </x14:conditionalFormatting>
        <x14:conditionalFormatting xmlns:xm="http://schemas.microsoft.com/office/excel/2006/main">
          <x14:cfRule type="expression" priority="38" id="{BB6955DE-B56E-4F2D-A77D-38E44131BBF4}">
            <xm:f>$J$81=Formeln!$A$174</xm:f>
            <x14:dxf>
              <font>
                <color theme="0" tint="-0.24994659260841701"/>
              </font>
            </x14:dxf>
          </x14:cfRule>
          <xm:sqref>A81</xm:sqref>
        </x14:conditionalFormatting>
        <x14:conditionalFormatting xmlns:xm="http://schemas.microsoft.com/office/excel/2006/main">
          <x14:cfRule type="expression" priority="37" id="{441A60AB-8DE8-4335-BB44-AD1FF798BFCC}">
            <xm:f>$J$81=Formeln!$A$174</xm:f>
            <x14:dxf>
              <font>
                <color theme="0" tint="-0.24994659260841701"/>
              </font>
            </x14:dxf>
          </x14:cfRule>
          <xm:sqref>A90</xm:sqref>
        </x14:conditionalFormatting>
        <x14:conditionalFormatting xmlns:xm="http://schemas.microsoft.com/office/excel/2006/main">
          <x14:cfRule type="expression" priority="36" id="{ADA83D0E-EBB1-499B-964E-9EE25185B206}">
            <xm:f>$J$43=Formeln!$A$174</xm:f>
            <x14:dxf>
              <font>
                <color theme="0" tint="-0.24994659260841701"/>
              </font>
            </x14:dxf>
          </x14:cfRule>
          <xm:sqref>A43:A44</xm:sqref>
        </x14:conditionalFormatting>
        <x14:conditionalFormatting xmlns:xm="http://schemas.microsoft.com/office/excel/2006/main">
          <x14:cfRule type="expression" priority="29" id="{67339983-31F8-4406-A15E-B4B14501CED9}">
            <xm:f>$J$82=Formeln!$A$174</xm:f>
            <x14:dxf>
              <font>
                <color theme="0" tint="-0.24994659260841701"/>
              </font>
            </x14:dxf>
          </x14:cfRule>
          <xm:sqref>E82:I82</xm:sqref>
        </x14:conditionalFormatting>
        <x14:conditionalFormatting xmlns:xm="http://schemas.microsoft.com/office/excel/2006/main">
          <x14:cfRule type="expression" priority="28" id="{25ACC5B7-839D-4418-A512-D36A15528AC9}">
            <xm:f>$J$82=Formeln!$A$1</xm:f>
            <x14:dxf>
              <font>
                <color auto="1"/>
              </font>
              <fill>
                <patternFill>
                  <bgColor theme="0" tint="-0.14996795556505021"/>
                </patternFill>
              </fill>
            </x14:dxf>
          </x14:cfRule>
          <xm:sqref>J82:K82</xm:sqref>
        </x14:conditionalFormatting>
        <x14:conditionalFormatting xmlns:xm="http://schemas.microsoft.com/office/excel/2006/main">
          <x14:cfRule type="expression" priority="21" id="{399A6CAA-F753-424F-BE68-0B74AA89EE85}">
            <xm:f>$J$53=Formeln!$A$174</xm:f>
            <x14:dxf>
              <font>
                <color theme="0" tint="-0.34998626667073579"/>
              </font>
            </x14:dxf>
          </x14:cfRule>
          <xm:sqref>A53:B53 D53:K53</xm:sqref>
        </x14:conditionalFormatting>
        <x14:conditionalFormatting xmlns:xm="http://schemas.microsoft.com/office/excel/2006/main">
          <x14:cfRule type="expression" priority="20" id="{48210B17-DD38-425B-89EB-3AF7B2D1D4F7}">
            <xm:f>$J$62=Formeln!$A$174</xm:f>
            <x14:dxf>
              <font>
                <color theme="0" tint="-0.34998626667073579"/>
              </font>
            </x14:dxf>
          </x14:cfRule>
          <xm:sqref>A62:B62 D62:K62</xm:sqref>
        </x14:conditionalFormatting>
        <x14:conditionalFormatting xmlns:xm="http://schemas.microsoft.com/office/excel/2006/main">
          <x14:cfRule type="expression" priority="19" id="{394D6E57-8004-482F-8051-81DA80375D3A}">
            <xm:f>$J$72=Formeln!$A$174</xm:f>
            <x14:dxf>
              <font>
                <color theme="0" tint="-0.34998626667073579"/>
              </font>
            </x14:dxf>
          </x14:cfRule>
          <xm:sqref>A72:B72 D72:K72</xm:sqref>
        </x14:conditionalFormatting>
        <x14:conditionalFormatting xmlns:xm="http://schemas.microsoft.com/office/excel/2006/main">
          <x14:cfRule type="expression" priority="18" id="{F2B9CABB-35BC-4789-9D87-5106DB90654D}">
            <xm:f>$J$76=Formeln!$A$174</xm:f>
            <x14:dxf>
              <font>
                <color theme="0" tint="-0.34998626667073579"/>
              </font>
            </x14:dxf>
          </x14:cfRule>
          <xm:sqref>A76:B76 D76:K76</xm:sqref>
        </x14:conditionalFormatting>
        <x14:conditionalFormatting xmlns:xm="http://schemas.microsoft.com/office/excel/2006/main">
          <x14:cfRule type="expression" priority="16" id="{90BF8945-FED8-401F-B3BA-FACCD7DDD719}">
            <xm:f>$J$39=Formeln!$A$174</xm:f>
            <x14:dxf>
              <font>
                <color theme="0" tint="-0.34998626667073579"/>
              </font>
            </x14:dxf>
          </x14:cfRule>
          <xm:sqref>D40</xm:sqref>
        </x14:conditionalFormatting>
        <x14:conditionalFormatting xmlns:xm="http://schemas.microsoft.com/office/excel/2006/main">
          <x14:cfRule type="expression" priority="14" id="{8D4953C9-82EA-405D-964E-0B816AE78B19}">
            <xm:f>$J$69=Formeln!$A$174</xm:f>
            <x14:dxf>
              <font>
                <color theme="0" tint="-0.34998626667073579"/>
              </font>
            </x14:dxf>
          </x14:cfRule>
          <xm:sqref>A85:B85</xm:sqref>
        </x14:conditionalFormatting>
        <x14:conditionalFormatting xmlns:xm="http://schemas.microsoft.com/office/excel/2006/main">
          <x14:cfRule type="expression" priority="13" id="{3BABFD59-3B53-460A-B1AD-ADB9C7B5AD1E}">
            <xm:f>$J$84=Formeln!$A$174</xm:f>
            <x14:dxf>
              <font>
                <color theme="0" tint="-0.34998626667073579"/>
              </font>
            </x14:dxf>
          </x14:cfRule>
          <xm:sqref>E85:I85</xm:sqref>
        </x14:conditionalFormatting>
        <x14:conditionalFormatting xmlns:xm="http://schemas.microsoft.com/office/excel/2006/main">
          <x14:cfRule type="expression" priority="12" id="{B24D8B2D-1484-4F4D-964D-3951EFAF2E39}">
            <xm:f>$J$84=Formeln!$A$174</xm:f>
            <x14:dxf>
              <font>
                <color theme="0" tint="-0.34998626667073579"/>
              </font>
            </x14:dxf>
          </x14:cfRule>
          <xm:sqref>D85</xm:sqref>
        </x14:conditionalFormatting>
        <x14:conditionalFormatting xmlns:xm="http://schemas.microsoft.com/office/excel/2006/main">
          <x14:cfRule type="expression" priority="11" id="{D7657FE6-453A-4F0D-B93B-18B75F71849A}">
            <xm:f>$J$61=Formeln!$A$174</xm:f>
            <x14:dxf>
              <font>
                <color theme="0" tint="-0.24994659260841701"/>
              </font>
            </x14:dxf>
          </x14:cfRule>
          <xm:sqref>J85:K85</xm:sqref>
        </x14:conditionalFormatting>
        <x14:conditionalFormatting xmlns:xm="http://schemas.microsoft.com/office/excel/2006/main">
          <x14:cfRule type="expression" priority="4" id="{A396E524-1A20-4C00-92A9-7A76835DFCAA}">
            <xm:f>$J$108=Formeln!$A$174</xm:f>
            <x14:dxf>
              <font>
                <color theme="0" tint="-0.34998626667073579"/>
              </font>
            </x14:dxf>
          </x14:cfRule>
          <xm:sqref>A100:B100 E100:I100</xm:sqref>
        </x14:conditionalFormatting>
        <x14:conditionalFormatting xmlns:xm="http://schemas.microsoft.com/office/excel/2006/main">
          <x14:cfRule type="expression" priority="1" id="{F60EF13A-6950-46BB-BD02-CE3C81C2B3F3}">
            <xm:f>$J$108=Formeln!$A$174</xm:f>
            <x14:dxf>
              <font>
                <color theme="0" tint="-0.34998626667073579"/>
              </font>
            </x14:dxf>
          </x14:cfRule>
          <xm:sqref>A101:B101 E101:I101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A00-000000000000}">
          <x14:formula1>
            <xm:f>Formeln_RI_P.10!$G$184:$G$187</xm:f>
          </x14:formula1>
          <xm:sqref>J86:K86</xm:sqref>
        </x14:dataValidation>
        <x14:dataValidation type="list" allowBlank="1" showInputMessage="1" showErrorMessage="1" xr:uid="{00000000-0002-0000-0A00-000001000000}">
          <x14:formula1>
            <xm:f>Formeln_RI_P.10!$A$272:$A$275</xm:f>
          </x14:formula1>
          <xm:sqref>J65:K65</xm:sqref>
        </x14:dataValidation>
        <x14:dataValidation type="list" allowBlank="1" showInputMessage="1" showErrorMessage="1" xr:uid="{00000000-0002-0000-0A00-000002000000}">
          <x14:formula1>
            <xm:f>Formeln_RI_P.10!$A$249:$A$251</xm:f>
          </x14:formula1>
          <xm:sqref>J82:K82</xm:sqref>
        </x14:dataValidation>
        <x14:dataValidation type="list" allowBlank="1" showInputMessage="1" showErrorMessage="1" xr:uid="{00000000-0002-0000-0A00-000003000000}">
          <x14:formula1>
            <xm:f>Formeln_RI_P.10!$A$234:$A$237</xm:f>
          </x14:formula1>
          <xm:sqref>J80:K80</xm:sqref>
        </x14:dataValidation>
        <x14:dataValidation type="list" allowBlank="1" showInputMessage="1" showErrorMessage="1" xr:uid="{00000000-0002-0000-0A00-000004000000}">
          <x14:formula1>
            <xm:f>Formeln_RI_P.10!$E$159:$E$162</xm:f>
          </x14:formula1>
          <xm:sqref>J33:K33</xm:sqref>
        </x14:dataValidation>
        <x14:dataValidation type="list" allowBlank="1" showInputMessage="1" showErrorMessage="1" xr:uid="{00000000-0002-0000-0A00-000005000000}">
          <x14:formula1>
            <xm:f>Formeln_RI_P.10!$E$170:$E$172</xm:f>
          </x14:formula1>
          <xm:sqref>J35:K35</xm:sqref>
        </x14:dataValidation>
        <x14:dataValidation type="list" allowBlank="1" showInputMessage="1" showErrorMessage="1" xr:uid="{00000000-0002-0000-0A00-000006000000}">
          <x14:formula1>
            <xm:f>Formeln_RI_P.10!$A$151:$A$153</xm:f>
          </x14:formula1>
          <xm:sqref>J67:K67</xm:sqref>
        </x14:dataValidation>
        <x14:dataValidation type="list" allowBlank="1" showInputMessage="1" showErrorMessage="1" xr:uid="{00000000-0002-0000-0A00-000007000000}">
          <x14:formula1>
            <xm:f>Formeln_RI_P.10!$A$144:$A$147</xm:f>
          </x14:formula1>
          <xm:sqref>J64:K64</xm:sqref>
        </x14:dataValidation>
        <x14:dataValidation type="list" allowBlank="1" showInputMessage="1" showErrorMessage="1" xr:uid="{00000000-0002-0000-0A00-000008000000}">
          <x14:formula1>
            <xm:f>Formeln_RI_P.10!$A$276:$A$278</xm:f>
          </x14:formula1>
          <xm:sqref>J63:K63</xm:sqref>
        </x14:dataValidation>
        <x14:dataValidation type="list" allowBlank="1" showInputMessage="1" showErrorMessage="1" xr:uid="{00000000-0002-0000-0A00-000009000000}">
          <x14:formula1>
            <xm:f>Formeln_RI_P.10!$A$298:$A$300</xm:f>
          </x14:formula1>
          <xm:sqref>J87:K87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1"/>
  <dimension ref="A1:EH140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89" width="8.6640625" style="1" hidden="1" customWidth="1"/>
    <col min="90" max="138" width="0" style="1" hidden="1" customWidth="1"/>
    <col min="139" max="16384" width="8.6640625" style="1" hidden="1"/>
  </cols>
  <sheetData>
    <row r="1" spans="1:17" ht="28.2">
      <c r="M1" s="2" t="str">
        <f>VLOOKUP("DACHRINNENSYSTEME",Sprachindex!A:Z,Info!$O$6,FALSE)</f>
        <v>DACHRINNENSYSTEME</v>
      </c>
    </row>
    <row r="2" spans="1:17" ht="28.2">
      <c r="D2" s="19"/>
      <c r="M2" s="2" t="str">
        <f>VLOOKUP("QUADRATROHR",Sprachindex!A:Z,Info!$O$6,FALSE)</f>
        <v>Quadratrohr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ODER EMAIL:</v>
      </c>
      <c r="K5" s="254"/>
      <c r="L5" s="255"/>
      <c r="M5" s="256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Datum:</v>
      </c>
      <c r="K6" s="254"/>
      <c r="L6" s="255"/>
      <c r="M6" s="256"/>
      <c r="N6" s="119">
        <v>0</v>
      </c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Bestellnummer:</v>
      </c>
      <c r="K7" s="254"/>
      <c r="L7" s="255"/>
      <c r="M7" s="256"/>
      <c r="N7" s="119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I9" s="87"/>
      <c r="J9" s="85"/>
      <c r="K9" s="86"/>
      <c r="L9" s="85" t="str">
        <f>VLOOKUP("glatt",Sprachindex!A:Z,Info!$O$6,FALSE)</f>
        <v>glatt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braun",Sprachindex!A:Z,Info!$O$6,FALSE)</f>
        <v>01 braun</v>
      </c>
      <c r="J16" s="86"/>
      <c r="K16" s="85"/>
      <c r="L16" s="86"/>
      <c r="M16" s="86"/>
      <c r="N16" s="87"/>
    </row>
    <row r="17" spans="1:58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anthrazit",Sprachindex!A:Z,Info!$O$6,FALSE)</f>
        <v>02 anthrazit</v>
      </c>
      <c r="H17" s="86"/>
      <c r="I17" s="85"/>
      <c r="J17" s="86"/>
      <c r="K17" s="127"/>
      <c r="L17" s="86"/>
      <c r="M17" s="86"/>
      <c r="N17" s="87"/>
      <c r="P17" s="10"/>
    </row>
    <row r="18" spans="1:58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5" t="str">
        <f>VLOOKUP("07 hellgrau",Sprachindex!A:Z,Info!$O$6,FALSE)</f>
        <v>07 hellgrau</v>
      </c>
      <c r="H18" s="86"/>
      <c r="I18" s="85"/>
      <c r="J18" s="86"/>
      <c r="K18" s="115"/>
      <c r="L18" s="86"/>
      <c r="M18" s="86"/>
      <c r="N18" s="114"/>
      <c r="Q18" s="4"/>
      <c r="AN18"/>
      <c r="AO18"/>
      <c r="AP18"/>
      <c r="AQ18"/>
    </row>
    <row r="19" spans="1:58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5" t="str">
        <f>VLOOKUP("12 silbermetallic",Sprachindex!A:Z,Info!$O$6,FALSE)</f>
        <v>12 silbermetallic</v>
      </c>
      <c r="H19" s="86"/>
      <c r="I19" s="85"/>
      <c r="J19" s="86"/>
      <c r="K19" s="86"/>
      <c r="L19" s="127"/>
      <c r="M19" s="86"/>
      <c r="N19" s="87"/>
      <c r="Q19" s="4"/>
      <c r="AN19" s="64"/>
      <c r="AO19" s="64"/>
      <c r="AP19" s="64"/>
      <c r="AQ19" s="64"/>
    </row>
    <row r="20" spans="1:58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VLOOKUP("13 naturblank",Sprachindex!A:Z,Info!$O$6,FALSE)</f>
        <v>13 naturblank</v>
      </c>
      <c r="H20" s="86"/>
      <c r="J20" s="86"/>
      <c r="K20" s="86"/>
      <c r="L20" s="86"/>
      <c r="M20" s="86"/>
      <c r="N20" s="87"/>
      <c r="Q20" s="4"/>
    </row>
    <row r="21" spans="1:58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/>
      <c r="H21" s="86"/>
      <c r="J21" s="86"/>
      <c r="K21" s="86"/>
      <c r="L21" s="86"/>
      <c r="M21" s="86"/>
      <c r="N21" s="119"/>
      <c r="Q21" s="4"/>
    </row>
    <row r="22" spans="1:58" ht="15" customHeight="1">
      <c r="A22" s="86"/>
      <c r="B22" s="90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119"/>
      <c r="Q22" s="4"/>
    </row>
    <row r="23" spans="1:58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58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87"/>
      <c r="O24" s="56"/>
      <c r="P24" s="56"/>
      <c r="Q24" s="14"/>
    </row>
    <row r="25" spans="1:58" s="5" customFormat="1" ht="15" customHeight="1">
      <c r="A25" s="1"/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87"/>
      <c r="O25" s="56"/>
      <c r="P25" s="56"/>
      <c r="Q25" s="14"/>
    </row>
    <row r="26" spans="1:58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54"/>
      <c r="J26" s="255"/>
      <c r="K26" s="256"/>
      <c r="L26" s="86"/>
      <c r="M26" s="86"/>
      <c r="N26" s="87"/>
      <c r="O26" s="56"/>
      <c r="P26" s="56"/>
      <c r="Q26" s="14"/>
    </row>
    <row r="27" spans="1:58" s="5" customFormat="1" ht="15" customHeight="1">
      <c r="A27" s="1"/>
      <c r="B27" s="283"/>
      <c r="C27" s="254"/>
      <c r="D27" s="255"/>
      <c r="E27" s="256"/>
      <c r="F27" s="86"/>
      <c r="L27" s="86"/>
      <c r="M27" s="86"/>
      <c r="N27" s="87"/>
      <c r="O27" s="56"/>
      <c r="P27" s="56"/>
      <c r="Q27" s="14"/>
    </row>
    <row r="28" spans="1:58" ht="15" customHeight="1">
      <c r="A28" s="86"/>
      <c r="B28" s="90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7"/>
      <c r="Q28" s="4"/>
    </row>
    <row r="29" spans="1:58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N29" s="87"/>
      <c r="P29" s="282" t="s">
        <v>24</v>
      </c>
      <c r="Q29" s="282"/>
      <c r="R29" s="282" t="s">
        <v>369</v>
      </c>
      <c r="S29" s="282"/>
      <c r="AF29" s="65" t="s">
        <v>2150</v>
      </c>
      <c r="AS29" s="65" t="s">
        <v>2151</v>
      </c>
      <c r="BF29" s="65" t="s">
        <v>2152</v>
      </c>
    </row>
    <row r="30" spans="1:58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N30" s="87"/>
      <c r="O30" s="1"/>
      <c r="P30" s="207" t="s">
        <v>27</v>
      </c>
      <c r="Q30" s="207" t="s">
        <v>28</v>
      </c>
      <c r="R30" s="207" t="s">
        <v>27</v>
      </c>
      <c r="S30" s="207" t="s">
        <v>28</v>
      </c>
      <c r="T30" s="70" t="s">
        <v>75</v>
      </c>
      <c r="U30" s="67" t="s">
        <v>48</v>
      </c>
      <c r="V30" s="67" t="s">
        <v>74</v>
      </c>
      <c r="W30" s="67" t="s">
        <v>2153</v>
      </c>
      <c r="X30" s="67" t="s">
        <v>84</v>
      </c>
      <c r="Y30" s="67" t="s">
        <v>370</v>
      </c>
      <c r="Z30" s="67" t="s">
        <v>77</v>
      </c>
      <c r="AA30" s="67" t="s">
        <v>78</v>
      </c>
      <c r="AB30" s="67" t="s">
        <v>82</v>
      </c>
      <c r="AC30" s="67" t="s">
        <v>76</v>
      </c>
      <c r="AD30" s="67" t="s">
        <v>83</v>
      </c>
      <c r="AE30" s="69" t="s">
        <v>81</v>
      </c>
      <c r="AG30" s="67" t="s">
        <v>75</v>
      </c>
      <c r="AH30" s="67" t="s">
        <v>48</v>
      </c>
      <c r="AI30" s="67" t="s">
        <v>74</v>
      </c>
      <c r="AJ30" s="67" t="s">
        <v>2153</v>
      </c>
      <c r="AK30" s="67" t="s">
        <v>84</v>
      </c>
      <c r="AL30" s="67" t="s">
        <v>370</v>
      </c>
      <c r="AM30" s="67" t="s">
        <v>77</v>
      </c>
      <c r="AN30" s="67" t="s">
        <v>78</v>
      </c>
      <c r="AO30" s="67" t="s">
        <v>82</v>
      </c>
      <c r="AP30" s="67" t="s">
        <v>76</v>
      </c>
      <c r="AQ30" s="67" t="s">
        <v>83</v>
      </c>
      <c r="AR30" s="69" t="s">
        <v>81</v>
      </c>
      <c r="AT30" s="70" t="s">
        <v>75</v>
      </c>
      <c r="AU30" s="67" t="s">
        <v>48</v>
      </c>
      <c r="AV30" s="67" t="s">
        <v>74</v>
      </c>
      <c r="AW30" s="67" t="s">
        <v>2153</v>
      </c>
      <c r="AX30" s="67" t="s">
        <v>84</v>
      </c>
      <c r="AY30" s="67" t="s">
        <v>370</v>
      </c>
      <c r="AZ30" s="67" t="s">
        <v>77</v>
      </c>
      <c r="BA30" s="67" t="s">
        <v>78</v>
      </c>
      <c r="BB30" s="67" t="s">
        <v>82</v>
      </c>
      <c r="BC30" s="67" t="s">
        <v>76</v>
      </c>
      <c r="BD30" s="67" t="s">
        <v>83</v>
      </c>
      <c r="BE30" s="69" t="s">
        <v>81</v>
      </c>
    </row>
    <row r="31" spans="1:58" ht="32.1" customHeight="1">
      <c r="A31" s="122"/>
      <c r="B31" s="221" t="str">
        <f>VLOOKUP("lfm",Sprachindex!A:Z,Info!$O$6,FALSE)</f>
        <v>lfm</v>
      </c>
      <c r="C31" s="123"/>
      <c r="D31" s="95">
        <f>IF(J31=Formeln!B140,AF31,IF(J31=Formeln!B141,AS31,IF(J31=Formeln!B142,BF31,0)))</f>
        <v>0</v>
      </c>
      <c r="E31" s="293" t="str">
        <f>VLOOKUP("Quadratrohr 80 mm",Sprachindex!A:Z,Info!$O$6,FALSE)</f>
        <v>Quadratrohr 80 mm</v>
      </c>
      <c r="F31" s="294"/>
      <c r="G31" s="294"/>
      <c r="H31" s="317" t="str">
        <f>VLOOKUP("Rohrlänge wählen:",Sprachindex!A:Z,Info!$O$6,FALSE)</f>
        <v>Rohrlänge wählen:</v>
      </c>
      <c r="I31" s="318"/>
      <c r="J31" s="252"/>
      <c r="K31" s="267"/>
      <c r="L31" s="221" t="str">
        <f>IF(OR(A31="",R31="",S31="")," ",IF($N$11=1,P31,IF($N$11=2,Q31,0)))</f>
        <v xml:space="preserve"> </v>
      </c>
      <c r="M31" s="125"/>
      <c r="N31" s="87"/>
      <c r="O31" s="1"/>
      <c r="P31" s="191" t="e">
        <f>ROUNDUP($A31/R31,0)*R31 &amp; "  " &amp; Formeln!$A$112 &amp; "                     " &amp; " (" &amp; ROUNDUP($A31/R31,0) &amp; " " &amp; Formeln_RI_P.10!$A$111 &amp; ")"</f>
        <v>#VALUE!</v>
      </c>
      <c r="Q31" s="191" t="e">
        <f>ROUNDUP($A31/S$32,0)*S$32 &amp; "  " &amp; Formeln!$A$112 &amp; "                     " &amp; " (" &amp; ROUNDUP($A31/S$32,0) &amp; " " &amp; Formeln_RI_P.10!$A$111 &amp; ")"</f>
        <v>#VALUE!</v>
      </c>
      <c r="R31" s="191" t="str">
        <f>IF($J$32=Formeln!$B$139,"",IF($J$32=Formeln!$B$140,0.6,IF($J$32=Formeln!$B$141,1.5,IF($J$32=Formeln!$B$142,3,""))))</f>
        <v/>
      </c>
      <c r="S31" s="191" t="str">
        <f>IF($J$32=Formeln!$B$139,"",IF($J$32=Formeln!$B$140,0.6,IF($J$32=Formeln!$B$141,1.5,IF($J$32=Formeln!$B$142,3,""))))</f>
        <v/>
      </c>
      <c r="T31" s="205" t="s">
        <v>2154</v>
      </c>
      <c r="U31" s="68" t="s">
        <v>2155</v>
      </c>
      <c r="V31" s="68"/>
      <c r="W31" s="68" t="s">
        <v>2156</v>
      </c>
      <c r="X31" s="68"/>
      <c r="Y31" s="68" t="s">
        <v>2157</v>
      </c>
      <c r="Z31" s="68"/>
      <c r="AA31" s="68"/>
      <c r="AB31" s="68"/>
      <c r="AC31" s="68"/>
      <c r="AD31" s="68"/>
      <c r="AE31" s="68"/>
      <c r="AF31" s="73">
        <f>IF($N$21=1,V31,IF($N$21=2,T31,IF($N$21=3,AC31,IF($N$21=4,Z31,IF($N$21=5,AA31,IF($N$21=6,AB31,IF($N$21=7,W31,IF($N$21=8,AD31,IF($N$21=9,X31,IF($N$21=10,AE31,IF($N$21=11,Y31,IF($N$21=12,U31,0))))))))))))</f>
        <v>0</v>
      </c>
      <c r="AG31" s="68" t="s">
        <v>2158</v>
      </c>
      <c r="AH31" s="68" t="s">
        <v>2159</v>
      </c>
      <c r="AI31" s="68"/>
      <c r="AJ31" s="68" t="s">
        <v>2160</v>
      </c>
      <c r="AK31" s="68"/>
      <c r="AL31" s="68" t="s">
        <v>2161</v>
      </c>
      <c r="AM31" s="68"/>
      <c r="AN31" s="68"/>
      <c r="AO31" s="68"/>
      <c r="AP31" s="68"/>
      <c r="AQ31" s="68"/>
      <c r="AR31" s="68"/>
      <c r="AS31" s="73">
        <f>IF($N$21=1,AI31,IF($N$21=2,AG31,IF($N$21=3,AP31,IF($N$21=4,AM31,IF($N$21=5,AN31,IF($N$21=6,AO31,IF($N$21=7,AJ31,IF($N$21=8,AQ31,IF($N$21=9,AK31,IF($N$21=10,AR31,IF($N$21=11,AL31,IF($N$21=12,AH31,0))))))))))))</f>
        <v>0</v>
      </c>
      <c r="AT31" s="68" t="s">
        <v>2162</v>
      </c>
      <c r="AU31" s="68" t="s">
        <v>2163</v>
      </c>
      <c r="AV31" s="68"/>
      <c r="AW31" s="68" t="s">
        <v>2164</v>
      </c>
      <c r="AX31" s="68"/>
      <c r="AY31" s="68" t="s">
        <v>2165</v>
      </c>
      <c r="AZ31" s="68"/>
      <c r="BA31" s="68"/>
      <c r="BB31" s="68"/>
      <c r="BC31" s="68"/>
      <c r="BD31" s="68"/>
      <c r="BE31" s="68"/>
      <c r="BF31" s="65">
        <f>IF($N$21=1,AV31,IF($N$21=2,AT31,IF($N$21=3,BC31,IF($N$21=4,AZ31,IF($N$21=5,BA31,IF($N$21=6,BB31,IF($N$21=7,AW31,IF($N$21=8,BD31,IF($N$21=9,AX31,IF($N$21=10,BE31,IF($N$21=11,AY31,IF($N$21=12,AU31,0))))))))))))</f>
        <v>0</v>
      </c>
    </row>
    <row r="32" spans="1:58" ht="32.1" customHeight="1">
      <c r="A32" s="118"/>
      <c r="B32" s="96" t="str">
        <f>VLOOKUP("lfm",Sprachindex!A:Z,Info!$O$6,FALSE)</f>
        <v>lfm</v>
      </c>
      <c r="C32" s="95"/>
      <c r="D32" s="95">
        <f>IF(J32=Formeln!B140,AF32,IF(J32=Formeln!B141,AS32,IF(J32=Formeln!B142,BF32,0)))</f>
        <v>0</v>
      </c>
      <c r="E32" s="250" t="str">
        <f>VLOOKUP("Quadratrohr 100 mm",Sprachindex!A:Z,Info!$O$6,FALSE)</f>
        <v>Quadratrohr 100 mm</v>
      </c>
      <c r="F32" s="251"/>
      <c r="G32" s="251"/>
      <c r="H32" s="315" t="str">
        <f>VLOOKUP("Rohrlänge wählen:",Sprachindex!A:Z,Info!$O$6,FALSE)</f>
        <v>Rohrlänge wählen:</v>
      </c>
      <c r="I32" s="316"/>
      <c r="J32" s="252"/>
      <c r="K32" s="267"/>
      <c r="L32" s="96" t="str">
        <f>IF(OR(A32="",R32="",S32="")," ",IF($N$11=1,P32,IF($N$11=2,Q32,0)))</f>
        <v xml:space="preserve"> </v>
      </c>
      <c r="M32" s="97"/>
      <c r="N32" s="87"/>
      <c r="O32" s="1"/>
      <c r="P32" s="191" t="e">
        <f>ROUNDUP($A32/R32,0)*R32 &amp; "  " &amp; Formeln!$A$112 &amp; "                     " &amp; " (" &amp; ROUNDUP($A32/R32,0) &amp; " " &amp; Formeln_RI_P.10!$A$111 &amp; ")"</f>
        <v>#VALUE!</v>
      </c>
      <c r="Q32" s="191" t="e">
        <f>ROUNDUP($A32/S$32,0)*S$32 &amp; "  " &amp; Formeln!$A$112 &amp; "                     " &amp; " (" &amp; ROUNDUP($A32/S$32,0) &amp; " " &amp; Formeln_RI_P.10!$A$111 &amp; ")"</f>
        <v>#VALUE!</v>
      </c>
      <c r="R32" s="191" t="str">
        <f>IF($J$32=Formeln!$B$139,"",IF($J$32=Formeln!$B$140,0.6,IF($J$32=Formeln!$B$141,1.5,IF($J$32=Formeln!$B$142,3,""))))</f>
        <v/>
      </c>
      <c r="S32" s="191" t="str">
        <f>IF($J$32=Formeln!$B$139,"",IF($J$32=Formeln!$B$140,0.6,IF($J$32=Formeln!$B$141,1.5,IF($J$32=Formeln!$B$142,3,""))))</f>
        <v/>
      </c>
      <c r="T32" s="205" t="s">
        <v>2166</v>
      </c>
      <c r="U32" s="68" t="s">
        <v>2167</v>
      </c>
      <c r="V32" s="68" t="s">
        <v>2168</v>
      </c>
      <c r="W32" s="68" t="s">
        <v>2169</v>
      </c>
      <c r="X32" s="68"/>
      <c r="Y32" s="68" t="s">
        <v>2170</v>
      </c>
      <c r="Z32" s="68"/>
      <c r="AA32" s="68"/>
      <c r="AB32" s="68"/>
      <c r="AC32" s="68"/>
      <c r="AD32" s="68"/>
      <c r="AE32" s="68"/>
      <c r="AF32" s="73">
        <f>IF($N$21=1,V32,IF($N$21=2,T32,IF($N$21=3,AC32,IF($N$21=4,Z32,IF($N$21=5,AA32,IF($N$21=6,AB32,IF($N$21=7,W32,IF($N$21=8,AD32,IF($N$21=9,X32,IF($N$21=10,AE32,IF($N$21=11,Y32,IF($N$21=12,U32,0))))))))))))</f>
        <v>0</v>
      </c>
      <c r="AG32" s="68" t="s">
        <v>2171</v>
      </c>
      <c r="AH32" s="68" t="s">
        <v>2172</v>
      </c>
      <c r="AI32" s="68" t="s">
        <v>2173</v>
      </c>
      <c r="AJ32" s="68" t="s">
        <v>2174</v>
      </c>
      <c r="AK32" s="68"/>
      <c r="AL32" s="68" t="s">
        <v>2175</v>
      </c>
      <c r="AM32" s="68"/>
      <c r="AN32" s="68"/>
      <c r="AO32" s="68"/>
      <c r="AP32" s="68"/>
      <c r="AQ32" s="68"/>
      <c r="AR32" s="68"/>
      <c r="AS32" s="73">
        <f>IF($N$21=1,AI32,IF($N$21=2,AG32,IF($N$21=3,AP32,IF($N$21=4,AM32,IF($N$21=5,AN32,IF($N$21=6,AO32,IF($N$21=7,AJ32,IF($N$21=8,AQ32,IF($N$21=9,AK32,IF($N$21=10,AR32,IF($N$21=11,AL32,IF($N$21=12,AH32,0))))))))))))</f>
        <v>0</v>
      </c>
      <c r="AT32" s="68" t="s">
        <v>2176</v>
      </c>
      <c r="AU32" s="68" t="s">
        <v>2177</v>
      </c>
      <c r="AV32" s="68" t="s">
        <v>2178</v>
      </c>
      <c r="AW32" s="68" t="s">
        <v>2179</v>
      </c>
      <c r="AX32" s="68"/>
      <c r="AY32" s="68" t="s">
        <v>2180</v>
      </c>
      <c r="AZ32" s="68"/>
      <c r="BA32" s="68"/>
      <c r="BB32" s="68"/>
      <c r="BC32" s="68"/>
      <c r="BD32" s="68"/>
      <c r="BE32" s="68"/>
      <c r="BF32" s="65">
        <f>IF($N$21=1,AV32,IF($N$21=2,AT32,IF($N$21=3,BC32,IF($N$21=4,AZ32,IF($N$21=5,BA32,IF($N$21=6,BB32,IF($N$21=7,AW32,IF($N$21=8,BD32,IF($N$21=9,AX32,IF($N$21=10,BE32,IF($N$21=11,AY32,IF($N$21=12,AU32,0))))))))))))</f>
        <v>0</v>
      </c>
    </row>
    <row r="33" spans="1:45" ht="32.1" customHeight="1">
      <c r="A33" s="131"/>
      <c r="B33" s="96" t="str">
        <f>VLOOKUP("STK",Sprachindex!A:Z,Info!$O$6,FALSE)</f>
        <v>STK</v>
      </c>
      <c r="C33" s="129"/>
      <c r="D33" s="95">
        <v>150050</v>
      </c>
      <c r="E33" s="319" t="str">
        <f>VLOOKUP("Halteklemme, blank",Sprachindex!A:Z,Info!$O$6,FALSE)</f>
        <v>Halteklemme, blank</v>
      </c>
      <c r="F33" s="320"/>
      <c r="G33" s="320"/>
      <c r="H33" s="320"/>
      <c r="I33" s="320"/>
      <c r="J33" s="320"/>
      <c r="K33" s="321"/>
      <c r="L33" s="96" t="str">
        <f t="shared" ref="L33:L58" si="0">IF(OR(A33="",R33="",S33="")," ",IF($N$11=1,P33,IF($N$11=2,Q33,0)))</f>
        <v xml:space="preserve"> </v>
      </c>
      <c r="M33" s="130"/>
      <c r="N33" s="87"/>
      <c r="O33" s="1"/>
      <c r="P33" s="191" t="str">
        <f>ROUNDUP($A33/R33,0)*R33 &amp; "  " &amp; Formeln!$A$111</f>
        <v>0  STK</v>
      </c>
      <c r="Q33" s="191" t="str">
        <f>ROUNDUP($A33/S33,0)*S33 &amp; "  " &amp; Formeln!$A$111</f>
        <v>0  STK</v>
      </c>
      <c r="R33" s="191">
        <v>1</v>
      </c>
      <c r="S33" s="191">
        <v>1</v>
      </c>
      <c r="T33"/>
      <c r="AC33"/>
    </row>
    <row r="34" spans="1:45" ht="32.1" customHeight="1">
      <c r="A34" s="131"/>
      <c r="B34" s="96" t="str">
        <f>VLOOKUP("STK",Sprachindex!A:Z,Info!$O$6,FALSE)</f>
        <v>STK</v>
      </c>
      <c r="C34" s="129"/>
      <c r="D34" s="95">
        <v>150051</v>
      </c>
      <c r="E34" s="319" t="str">
        <f>VLOOKUP("Blitzschutzklemme, blank",Sprachindex!A:Z,Info!$O$6,FALSE)</f>
        <v>Blitzschutzklemme, blank</v>
      </c>
      <c r="F34" s="320"/>
      <c r="G34" s="320"/>
      <c r="H34" s="320"/>
      <c r="I34" s="320"/>
      <c r="J34" s="320"/>
      <c r="K34" s="321"/>
      <c r="L34" s="96" t="str">
        <f t="shared" si="0"/>
        <v xml:space="preserve"> </v>
      </c>
      <c r="M34" s="130"/>
      <c r="N34" s="87"/>
      <c r="O34" s="1"/>
      <c r="P34" s="191" t="str">
        <f>ROUNDUP($A34/R34,0)*R34 &amp; "  " &amp; Formeln!$A$111</f>
        <v>0  STK</v>
      </c>
      <c r="Q34" s="191" t="str">
        <f>ROUNDUP($A34/S34,0)*S34 &amp; "  " &amp; Formeln!$A$111</f>
        <v>0  STK</v>
      </c>
      <c r="R34" s="191">
        <v>1</v>
      </c>
      <c r="S34" s="191">
        <v>1</v>
      </c>
      <c r="T34" s="70" t="s">
        <v>75</v>
      </c>
      <c r="U34" s="67" t="s">
        <v>48</v>
      </c>
      <c r="V34" s="67" t="s">
        <v>74</v>
      </c>
      <c r="W34" s="67" t="s">
        <v>2153</v>
      </c>
      <c r="X34" s="67" t="s">
        <v>84</v>
      </c>
      <c r="Y34" s="67" t="s">
        <v>370</v>
      </c>
      <c r="Z34" s="67" t="s">
        <v>77</v>
      </c>
      <c r="AA34" s="67" t="s">
        <v>78</v>
      </c>
      <c r="AB34" s="67" t="s">
        <v>82</v>
      </c>
      <c r="AC34" s="67" t="s">
        <v>76</v>
      </c>
      <c r="AD34" s="67" t="s">
        <v>83</v>
      </c>
      <c r="AE34" s="69" t="s">
        <v>81</v>
      </c>
    </row>
    <row r="35" spans="1:45" ht="32.1" customHeight="1">
      <c r="A35" s="131"/>
      <c r="B35" s="96" t="str">
        <f>VLOOKUP("STK",Sprachindex!A:Z,Info!$O$6,FALSE)</f>
        <v>STK</v>
      </c>
      <c r="C35" s="129"/>
      <c r="D35" s="95">
        <f t="shared" ref="D35:D41" si="1">IF($N$21=1,V35,IF($N$21=2,T35,IF($N$21=3,AC35,IF($N$21=4,Z35,IF($N$21=5,AA35,IF($N$21=6,AB35,IF($N$21=7,W35,IF($N$21=8,AD35,IF($N$21=9,X35,IF($N$21=10,AE35,IF($N$21=11,Y35,IF($N$21=12,U35,0))))))))))))</f>
        <v>0</v>
      </c>
      <c r="E35" s="250" t="str">
        <f>VLOOKUP("Quadratrohrbogen 80 mm, 72°, lang",Sprachindex!A:Z,Info!$O$6,FALSE)</f>
        <v>Quadratrohrbogen 80 mm, 72°, lang</v>
      </c>
      <c r="F35" s="251"/>
      <c r="G35" s="251"/>
      <c r="H35" s="251"/>
      <c r="I35" s="251"/>
      <c r="J35" s="251"/>
      <c r="K35" s="257"/>
      <c r="L35" s="96" t="str">
        <f t="shared" ref="L35" si="2">IF(OR(A35="",R35="",S35="")," ",IF($N$11=1,P35,IF($N$11=2,Q35,0)))</f>
        <v xml:space="preserve"> </v>
      </c>
      <c r="M35" s="130"/>
      <c r="N35" s="87"/>
      <c r="O35" s="1"/>
      <c r="P35" s="191" t="str">
        <f>ROUNDUP($A35/R35,0)*R35 &amp; "  " &amp; Formeln!$A$111</f>
        <v>0  STK</v>
      </c>
      <c r="Q35" s="191" t="str">
        <f>ROUNDUP($A35/S35,0)*S35 &amp; "  " &amp; Formeln!$A$111</f>
        <v>0  STK</v>
      </c>
      <c r="R35" s="191">
        <v>1</v>
      </c>
      <c r="S35" s="191">
        <v>1</v>
      </c>
      <c r="T35" s="205" t="s">
        <v>2181</v>
      </c>
      <c r="U35" s="68" t="s">
        <v>2182</v>
      </c>
      <c r="V35" s="68"/>
      <c r="W35" s="68" t="s">
        <v>2183</v>
      </c>
      <c r="X35" s="68"/>
      <c r="Y35" s="68" t="s">
        <v>2184</v>
      </c>
      <c r="Z35" s="71"/>
      <c r="AA35" s="71"/>
      <c r="AB35" s="71"/>
      <c r="AC35" s="72"/>
      <c r="AD35" s="71"/>
      <c r="AE35" s="71"/>
    </row>
    <row r="36" spans="1:45" ht="32.1" customHeight="1">
      <c r="A36" s="131"/>
      <c r="B36" s="96" t="str">
        <f>VLOOKUP("STK",Sprachindex!A:Z,Info!$O$6,FALSE)</f>
        <v>STK</v>
      </c>
      <c r="C36" s="129"/>
      <c r="D36" s="95">
        <f t="shared" si="1"/>
        <v>0</v>
      </c>
      <c r="E36" s="250" t="str">
        <f>VLOOKUP("Quadratrohrbogen 100 mm, 72°, lang",Sprachindex!A:Z,Info!$O$6,FALSE)</f>
        <v>Quadratrohrbogen 100 mm, 72°, lang</v>
      </c>
      <c r="F36" s="251"/>
      <c r="G36" s="251"/>
      <c r="H36" s="251"/>
      <c r="I36" s="251"/>
      <c r="J36" s="251"/>
      <c r="K36" s="257"/>
      <c r="L36" s="96" t="str">
        <f t="shared" si="0"/>
        <v xml:space="preserve"> </v>
      </c>
      <c r="M36" s="130"/>
      <c r="N36" s="87"/>
      <c r="O36" s="1"/>
      <c r="P36" s="191" t="str">
        <f>ROUNDUP($A36/R36,0)*R36 &amp; "  " &amp; Formeln!$A$111</f>
        <v>0  STK</v>
      </c>
      <c r="Q36" s="191" t="str">
        <f>ROUNDUP($A36/S36,0)*S36 &amp; "  " &amp; Formeln!$A$111</f>
        <v>0  STK</v>
      </c>
      <c r="R36" s="191">
        <v>1</v>
      </c>
      <c r="S36" s="191">
        <v>1</v>
      </c>
      <c r="T36" s="205">
        <v>150202</v>
      </c>
      <c r="U36" s="68">
        <v>150200</v>
      </c>
      <c r="V36" s="68">
        <v>150201</v>
      </c>
      <c r="W36" s="68">
        <v>150204</v>
      </c>
      <c r="X36" s="68"/>
      <c r="Y36" s="68">
        <v>150205</v>
      </c>
      <c r="Z36" s="71"/>
      <c r="AA36" s="71"/>
      <c r="AB36" s="71"/>
      <c r="AC36" s="72"/>
      <c r="AD36" s="71"/>
      <c r="AE36" s="71"/>
    </row>
    <row r="37" spans="1:45" ht="32.1" customHeight="1">
      <c r="A37" s="131"/>
      <c r="B37" s="96" t="str">
        <f>VLOOKUP("STK",Sprachindex!A:Z,Info!$O$6,FALSE)</f>
        <v>STK</v>
      </c>
      <c r="C37" s="95"/>
      <c r="D37" s="95">
        <f t="shared" si="1"/>
        <v>0</v>
      </c>
      <c r="E37" s="250" t="str">
        <f>VLOOKUP("Quadratrohrbogen 80 mm, 72°, kurz",Sprachindex!A:Z,Info!$O$6,FALSE)</f>
        <v>Quadratrohrbogen 80 mm, 72°, kurz</v>
      </c>
      <c r="F37" s="251"/>
      <c r="G37" s="251"/>
      <c r="H37" s="251"/>
      <c r="I37" s="251"/>
      <c r="J37" s="251"/>
      <c r="K37" s="257"/>
      <c r="L37" s="96" t="str">
        <f t="shared" ref="L37" si="3">IF(OR(A37="",R37="",S37="")," ",IF($N$11=1,P37,IF($N$11=2,Q37,0)))</f>
        <v xml:space="preserve"> </v>
      </c>
      <c r="M37" s="130"/>
      <c r="N37" s="87"/>
      <c r="O37" s="1"/>
      <c r="P37" s="191" t="str">
        <f>ROUNDUP($A37/R37,0)*R37 &amp; "  " &amp; Formeln!$A$111</f>
        <v>0  STK</v>
      </c>
      <c r="Q37" s="191" t="str">
        <f>ROUNDUP($A37/S37,0)*S37 &amp; "  " &amp; Formeln!$A$111</f>
        <v>0  STK</v>
      </c>
      <c r="R37" s="191">
        <v>1</v>
      </c>
      <c r="S37" s="191">
        <v>1</v>
      </c>
      <c r="T37" s="205" t="s">
        <v>2185</v>
      </c>
      <c r="U37" s="68" t="s">
        <v>2186</v>
      </c>
      <c r="V37" s="68"/>
      <c r="W37" s="68" t="s">
        <v>2187</v>
      </c>
      <c r="X37" s="68"/>
      <c r="Y37" s="68" t="s">
        <v>2188</v>
      </c>
      <c r="Z37" s="71"/>
      <c r="AA37" s="71"/>
      <c r="AB37" s="71"/>
      <c r="AC37" s="71"/>
      <c r="AD37" s="71"/>
      <c r="AE37" s="71"/>
    </row>
    <row r="38" spans="1:45" ht="32.1" customHeight="1">
      <c r="A38" s="131"/>
      <c r="B38" s="96" t="str">
        <f>VLOOKUP("STK",Sprachindex!A:Z,Info!$O$6,FALSE)</f>
        <v>STK</v>
      </c>
      <c r="C38" s="95"/>
      <c r="D38" s="95">
        <f t="shared" si="1"/>
        <v>0</v>
      </c>
      <c r="E38" s="250" t="str">
        <f>VLOOKUP("Quadratrohrbogen 100 mm, 72°, kurz",Sprachindex!A:Z,Info!$O$6,FALSE)</f>
        <v>Quadratrohrbogen 100 mm, 72°, kurz</v>
      </c>
      <c r="F38" s="251"/>
      <c r="G38" s="251"/>
      <c r="H38" s="251"/>
      <c r="I38" s="251"/>
      <c r="J38" s="251"/>
      <c r="K38" s="257"/>
      <c r="L38" s="96" t="str">
        <f t="shared" si="0"/>
        <v xml:space="preserve"> </v>
      </c>
      <c r="M38" s="130"/>
      <c r="N38" s="87"/>
      <c r="O38" s="1"/>
      <c r="P38" s="191" t="str">
        <f>ROUNDUP($A38/R38,0)*R38 &amp; "  " &amp; Formeln!$A$111</f>
        <v>0  STK</v>
      </c>
      <c r="Q38" s="191" t="str">
        <f>ROUNDUP($A38/S38,0)*S38 &amp; "  " &amp; Formeln!$A$111</f>
        <v>0  STK</v>
      </c>
      <c r="R38" s="191">
        <v>1</v>
      </c>
      <c r="S38" s="191">
        <v>1</v>
      </c>
      <c r="T38" s="205">
        <v>150262</v>
      </c>
      <c r="U38" s="68">
        <v>150260</v>
      </c>
      <c r="V38" s="68">
        <v>150261</v>
      </c>
      <c r="W38" s="68">
        <v>150263</v>
      </c>
      <c r="X38" s="68"/>
      <c r="Y38" s="68">
        <v>150265</v>
      </c>
      <c r="Z38" s="71"/>
      <c r="AA38" s="71"/>
      <c r="AB38" s="71"/>
      <c r="AC38" s="71"/>
      <c r="AD38" s="71"/>
      <c r="AE38" s="71"/>
    </row>
    <row r="39" spans="1:45" ht="32.1" customHeight="1">
      <c r="A39" s="131"/>
      <c r="B39" s="96" t="str">
        <f>VLOOKUP("STK",Sprachindex!A:Z,Info!$O$6,FALSE)</f>
        <v>STK</v>
      </c>
      <c r="C39" s="95"/>
      <c r="D39" s="95">
        <f t="shared" si="1"/>
        <v>0</v>
      </c>
      <c r="E39" s="250" t="str">
        <f>VLOOKUP("Quadratrohr 80 mm, Wasserfangkasten",Sprachindex!A:Z,Info!$O$6,FALSE)</f>
        <v>Quadratrohr 80 mm, Wasserfangkasten</v>
      </c>
      <c r="F39" s="251"/>
      <c r="G39" s="251"/>
      <c r="H39" s="251"/>
      <c r="I39" s="251"/>
      <c r="J39" s="251"/>
      <c r="K39" s="257"/>
      <c r="L39" s="96" t="str">
        <f t="shared" ref="L39" si="4">IF(OR(A39="",R39="",S39="")," ",IF($N$11=1,P39,IF($N$11=2,Q39,0)))</f>
        <v xml:space="preserve"> </v>
      </c>
      <c r="M39" s="130"/>
      <c r="N39" s="87"/>
      <c r="O39" s="1"/>
      <c r="P39" s="191" t="str">
        <f>ROUNDUP($A39/R39,0)*R39 &amp; "  " &amp; Formeln!$A$111</f>
        <v>0  STK</v>
      </c>
      <c r="Q39" s="191" t="str">
        <f>ROUNDUP($A39/S39,0)*S39 &amp; "  " &amp; Formeln!$A$111</f>
        <v>0  STK</v>
      </c>
      <c r="R39" s="191">
        <v>1</v>
      </c>
      <c r="S39" s="191">
        <v>1</v>
      </c>
      <c r="T39" s="64" t="s">
        <v>2189</v>
      </c>
      <c r="U39" s="64" t="s">
        <v>2190</v>
      </c>
      <c r="V39" s="64"/>
      <c r="W39" s="64" t="s">
        <v>2191</v>
      </c>
      <c r="X39" s="64"/>
      <c r="Y39" s="64" t="s">
        <v>2192</v>
      </c>
      <c r="Z39" s="71"/>
      <c r="AA39" s="71"/>
      <c r="AB39" s="71"/>
      <c r="AC39" s="71"/>
      <c r="AD39" s="71"/>
      <c r="AE39" s="71"/>
    </row>
    <row r="40" spans="1:45" ht="32.1" customHeight="1">
      <c r="A40" s="131"/>
      <c r="B40" s="96" t="str">
        <f>VLOOKUP("STK",Sprachindex!A:Z,Info!$O$6,FALSE)</f>
        <v>STK</v>
      </c>
      <c r="C40" s="95"/>
      <c r="D40" s="95">
        <f t="shared" si="1"/>
        <v>0</v>
      </c>
      <c r="E40" s="250" t="str">
        <f>VLOOKUP("Quadratrohr 100 mm, Wasserfangkasten",Sprachindex!A:Z,Info!$O$6,FALSE)</f>
        <v>Quadratrohr 100 mm, Wasserfangkasten</v>
      </c>
      <c r="F40" s="251"/>
      <c r="G40" s="251"/>
      <c r="H40" s="251"/>
      <c r="I40" s="251"/>
      <c r="J40" s="251"/>
      <c r="K40" s="257"/>
      <c r="L40" s="96" t="str">
        <f t="shared" si="0"/>
        <v xml:space="preserve"> </v>
      </c>
      <c r="M40" s="130"/>
      <c r="N40" s="87"/>
      <c r="O40" s="1"/>
      <c r="P40" s="191" t="str">
        <f>ROUNDUP($A40/R40,0)*R40 &amp; "  " &amp; Formeln!$A$111</f>
        <v>0  STK</v>
      </c>
      <c r="Q40" s="191" t="str">
        <f>ROUNDUP($A40/S40,0)*S40 &amp; "  " &amp; Formeln!$A$111</f>
        <v>0  STK</v>
      </c>
      <c r="R40" s="191">
        <v>1</v>
      </c>
      <c r="S40" s="191">
        <v>1</v>
      </c>
      <c r="T40" s="64">
        <v>150302</v>
      </c>
      <c r="U40" s="64">
        <v>150300</v>
      </c>
      <c r="V40" s="64">
        <v>150301</v>
      </c>
      <c r="W40" s="64">
        <v>150303</v>
      </c>
      <c r="X40" s="64"/>
      <c r="Y40" s="64">
        <v>150305</v>
      </c>
      <c r="Z40" s="71"/>
      <c r="AA40" s="71"/>
      <c r="AB40" s="71"/>
      <c r="AC40" s="71"/>
      <c r="AD40" s="71"/>
      <c r="AE40" s="71"/>
    </row>
    <row r="41" spans="1:45" ht="32.1" customHeight="1">
      <c r="A41" s="131"/>
      <c r="B41" s="96" t="str">
        <f>VLOOKUP("STK",Sprachindex!A:Z,Info!$O$6,FALSE)</f>
        <v>STK</v>
      </c>
      <c r="C41" s="95"/>
      <c r="D41" s="95">
        <f t="shared" si="1"/>
        <v>0</v>
      </c>
      <c r="E41" s="250" t="str">
        <f>VLOOKUP("Quadratrohr 80 mm, Muffe",Sprachindex!A:Z,Info!$O$6,FALSE)</f>
        <v>Quadratrohr 80 mm, Muffe</v>
      </c>
      <c r="F41" s="251"/>
      <c r="G41" s="251"/>
      <c r="H41" s="251"/>
      <c r="I41" s="251"/>
      <c r="J41" s="251"/>
      <c r="K41" s="257"/>
      <c r="L41" s="96" t="str">
        <f t="shared" ref="L41" si="5">IF(OR(A41="",R41="",S41="")," ",IF($N$11=1,P41,IF($N$11=2,Q41,0)))</f>
        <v xml:space="preserve"> </v>
      </c>
      <c r="M41" s="130"/>
      <c r="N41" s="87"/>
      <c r="O41" s="1"/>
      <c r="P41" s="191" t="str">
        <f>ROUNDUP($A41/R41,0)*R41 &amp; "  " &amp; Formeln!$A$111</f>
        <v>0  STK</v>
      </c>
      <c r="Q41" s="191" t="str">
        <f>ROUNDUP($A41/S41,0)*S41 &amp; "  " &amp; Formeln!$A$111</f>
        <v>0  STK</v>
      </c>
      <c r="R41" s="191">
        <v>1</v>
      </c>
      <c r="S41" s="191">
        <v>1</v>
      </c>
      <c r="T41" s="64" t="s">
        <v>2193</v>
      </c>
      <c r="U41" s="64" t="s">
        <v>2194</v>
      </c>
      <c r="V41" s="64"/>
      <c r="W41" s="64" t="s">
        <v>2195</v>
      </c>
      <c r="X41" s="64"/>
      <c r="Y41" s="64" t="s">
        <v>2196</v>
      </c>
      <c r="Z41" s="71"/>
      <c r="AA41" s="71"/>
      <c r="AB41" s="71"/>
      <c r="AC41" s="71"/>
      <c r="AD41" s="71"/>
      <c r="AE41" s="71"/>
    </row>
    <row r="42" spans="1:45" ht="32.1" customHeight="1">
      <c r="A42" s="131"/>
      <c r="B42" s="96" t="str">
        <f>VLOOKUP("STK",Sprachindex!A:Z,Info!$O$6,FALSE)</f>
        <v>STK</v>
      </c>
      <c r="C42" s="95"/>
      <c r="D42" s="95">
        <f>IF(I42=Formeln!A144,AF42,IF(I42=Formeln!A145,AS42,0))</f>
        <v>0</v>
      </c>
      <c r="E42" s="250" t="str">
        <f>VLOOKUP("Quadratrohr 100 mm, Muffe",Sprachindex!A:Z,Info!$O$6,FALSE)</f>
        <v>Quadratrohr 100 mm, Muffe</v>
      </c>
      <c r="F42" s="251"/>
      <c r="G42" s="251"/>
      <c r="H42" s="101" t="str">
        <f>VLOOKUP("Dimension wählen:",Sprachindex!A:Z,Info!$O$6,FALSE)</f>
        <v>Dimension wählen:</v>
      </c>
      <c r="I42" s="252"/>
      <c r="J42" s="267"/>
      <c r="K42" s="267"/>
      <c r="L42" s="96" t="str">
        <f t="shared" si="0"/>
        <v xml:space="preserve"> </v>
      </c>
      <c r="M42" s="130"/>
      <c r="N42" s="87"/>
      <c r="O42" s="1"/>
      <c r="P42" s="191" t="e">
        <f>ROUNDUP($A42/R42,0)*R42 &amp; "  " &amp; Formeln!$A$111</f>
        <v>#VALUE!</v>
      </c>
      <c r="Q42" s="191" t="str">
        <f>ROUNDUP($A42/S42,0)*S42 &amp; "  " &amp; Formeln!$A$111</f>
        <v>0  STK</v>
      </c>
      <c r="R42" s="191" t="str">
        <f>IF(I42=Formeln!$A$143,"",1)</f>
        <v/>
      </c>
      <c r="S42" s="191">
        <v>1</v>
      </c>
      <c r="T42" s="64">
        <v>150382</v>
      </c>
      <c r="U42" s="64">
        <v>150380</v>
      </c>
      <c r="V42" s="64">
        <v>150381</v>
      </c>
      <c r="W42" s="64">
        <v>150383</v>
      </c>
      <c r="X42" s="64"/>
      <c r="Y42" s="64">
        <v>150385</v>
      </c>
      <c r="Z42" s="71"/>
      <c r="AA42" s="71"/>
      <c r="AB42" s="71"/>
      <c r="AC42" s="72"/>
      <c r="AD42" s="71"/>
      <c r="AE42" s="71"/>
      <c r="AF42" s="65">
        <f>IF($N$21=1,V42,IF($N$21=2,T42,IF($N$21=3,AC42,IF($N$21=4,Z42,IF($N$21=5,AA42,IF($N$21=6,AB42,IF($N$21=7,W42,IF($N$21=8,AD42,IF($N$21=9,X42,IF($N$21=10,AE42,IF($N$21=11,Y42,IF($N$21=12,U42,0))))))))))))</f>
        <v>0</v>
      </c>
      <c r="AG42" s="64">
        <v>150362</v>
      </c>
      <c r="AH42" s="64">
        <v>150360</v>
      </c>
      <c r="AI42" s="64">
        <v>150361</v>
      </c>
      <c r="AJ42" s="64">
        <v>150363</v>
      </c>
      <c r="AK42" s="64"/>
      <c r="AL42" s="64">
        <v>150365</v>
      </c>
      <c r="AM42" s="71"/>
      <c r="AN42" s="71"/>
      <c r="AO42" s="71"/>
      <c r="AP42" s="72"/>
      <c r="AQ42" s="71"/>
      <c r="AR42" s="71"/>
      <c r="AS42" s="65">
        <f>IF($N$21=1,AI42,IF($N$21=2,AG42,IF($N$21=3,AP42,IF($N$21=4,AM42,IF($N$21=5,AN42,IF($N$21=6,AO42,IF($N$21=7,AJ42,IF($N$21=8,AQ42,IF($N$21=9,AK42,IF($N$21=10,AR42,IF($N$21=11,AL42,IF($N$21=12,AH42,0))))))))))))</f>
        <v>0</v>
      </c>
    </row>
    <row r="43" spans="1:45" ht="32.1" customHeight="1">
      <c r="A43" s="131"/>
      <c r="B43" s="96" t="str">
        <f>VLOOKUP("STK",Sprachindex!A:Z,Info!$O$6,FALSE)</f>
        <v>STK</v>
      </c>
      <c r="C43" s="95"/>
      <c r="D43" s="95">
        <v>150052</v>
      </c>
      <c r="E43" s="250" t="str">
        <f>VLOOKUP("Gummidichtung DM100",Sprachindex!A:Z,Info!$O$6,FALSE)</f>
        <v>Gummidichtung DM100</v>
      </c>
      <c r="F43" s="251"/>
      <c r="G43" s="251"/>
      <c r="H43" s="251"/>
      <c r="I43" s="251"/>
      <c r="J43" s="251"/>
      <c r="K43" s="257"/>
      <c r="L43" s="96" t="str">
        <f t="shared" si="0"/>
        <v xml:space="preserve"> </v>
      </c>
      <c r="M43" s="130"/>
      <c r="N43" s="87"/>
      <c r="O43" s="1"/>
      <c r="P43" s="191" t="str">
        <f>ROUNDUP($A43/R43,0)*R43 &amp; "  " &amp; Formeln!$A$111</f>
        <v>0  STK</v>
      </c>
      <c r="Q43" s="191" t="str">
        <f>ROUNDUP($A43/S43,0)*S43 &amp; "  " &amp; Formeln!$A$111</f>
        <v>0  STK</v>
      </c>
      <c r="R43" s="191">
        <v>1</v>
      </c>
      <c r="S43" s="191">
        <v>1</v>
      </c>
      <c r="T43" s="70" t="s">
        <v>75</v>
      </c>
      <c r="U43" s="67" t="s">
        <v>48</v>
      </c>
      <c r="V43" s="67" t="s">
        <v>74</v>
      </c>
      <c r="W43" s="67" t="s">
        <v>2153</v>
      </c>
      <c r="X43" s="67" t="s">
        <v>84</v>
      </c>
      <c r="Y43" s="67" t="s">
        <v>370</v>
      </c>
      <c r="Z43" s="67" t="s">
        <v>77</v>
      </c>
      <c r="AA43" s="67" t="s">
        <v>78</v>
      </c>
      <c r="AB43" s="67" t="s">
        <v>82</v>
      </c>
      <c r="AC43" s="67" t="s">
        <v>76</v>
      </c>
      <c r="AD43" s="67" t="s">
        <v>83</v>
      </c>
      <c r="AE43" s="69" t="s">
        <v>81</v>
      </c>
      <c r="AG43" s="67" t="s">
        <v>75</v>
      </c>
      <c r="AH43" s="67" t="s">
        <v>48</v>
      </c>
      <c r="AI43" s="67" t="s">
        <v>74</v>
      </c>
      <c r="AJ43" s="67" t="s">
        <v>2153</v>
      </c>
      <c r="AK43" s="67" t="s">
        <v>84</v>
      </c>
      <c r="AL43" s="67" t="s">
        <v>370</v>
      </c>
      <c r="AM43" s="67" t="s">
        <v>77</v>
      </c>
      <c r="AN43" s="67" t="s">
        <v>78</v>
      </c>
      <c r="AO43" s="67" t="s">
        <v>82</v>
      </c>
      <c r="AP43" s="67" t="s">
        <v>76</v>
      </c>
      <c r="AQ43" s="67" t="s">
        <v>83</v>
      </c>
      <c r="AR43" s="69" t="s">
        <v>81</v>
      </c>
    </row>
    <row r="44" spans="1:45" ht="32.1" customHeight="1">
      <c r="A44" s="131"/>
      <c r="B44" s="96" t="str">
        <f>VLOOKUP("STK",Sprachindex!A:Z,Info!$O$6,FALSE)</f>
        <v>STK</v>
      </c>
      <c r="C44" s="95"/>
      <c r="D44" s="95">
        <f>IF($N$21=1,V44,IF($N$21=2,T44,IF($N$21=3,AC44,IF($N$21=4,Z44,IF($N$21=5,AA44,IF($N$21=6,AB44,IF($N$21=7,W44,IF($N$21=8,AD44,IF($N$21=9,X44,IF($N$21=10,AE44,IF($N$21=11,Y44,IF($N$21=12,U44,0))))))))))))</f>
        <v>0</v>
      </c>
      <c r="E44" s="250" t="str">
        <f>VLOOKUP("Quadratrohr 80 mm, Kessel",Sprachindex!A:Z,Info!$O$6,FALSE)</f>
        <v>Quadratrohr 80 mm, Kessel</v>
      </c>
      <c r="F44" s="251"/>
      <c r="G44" s="251"/>
      <c r="H44" s="251"/>
      <c r="I44" s="251"/>
      <c r="J44" s="251"/>
      <c r="K44" s="257"/>
      <c r="L44" s="96" t="str">
        <f t="shared" ref="L44" si="6">IF(OR(A44="",R44="",S44="")," ",IF($N$11=1,P44,IF($N$11=2,Q44,0)))</f>
        <v xml:space="preserve"> </v>
      </c>
      <c r="M44" s="130"/>
      <c r="N44" s="87"/>
      <c r="O44" s="1"/>
      <c r="P44" s="191" t="str">
        <f>ROUNDUP($A44/R44,0)*R44 &amp; "  " &amp; Formeln!$A$111</f>
        <v>0  STK</v>
      </c>
      <c r="Q44" s="191" t="str">
        <f>ROUNDUP($A44/S44,0)*S44 &amp; "  " &amp; Formeln!$A$111</f>
        <v>0  STK</v>
      </c>
      <c r="R44" s="191">
        <v>1</v>
      </c>
      <c r="S44" s="191">
        <v>1</v>
      </c>
      <c r="T44" s="64" t="s">
        <v>2197</v>
      </c>
      <c r="U44" s="64" t="s">
        <v>2198</v>
      </c>
      <c r="V44" s="64"/>
      <c r="W44" s="64" t="s">
        <v>2199</v>
      </c>
      <c r="X44" s="64"/>
      <c r="Y44" s="64" t="s">
        <v>2200</v>
      </c>
      <c r="Z44" s="71"/>
      <c r="AA44" s="71"/>
      <c r="AB44" s="71"/>
      <c r="AC44" s="71"/>
      <c r="AD44" s="71"/>
      <c r="AE44" s="71"/>
    </row>
    <row r="45" spans="1:45" ht="32.1" customHeight="1">
      <c r="A45" s="131"/>
      <c r="B45" s="96" t="str">
        <f>VLOOKUP("STK",Sprachindex!A:Z,Info!$O$6,FALSE)</f>
        <v>STK</v>
      </c>
      <c r="C45" s="95"/>
      <c r="D45" s="95">
        <f>IF(I45=Formeln!A147,AF45,IF(I45=Formeln!A148,AS45,0))</f>
        <v>0</v>
      </c>
      <c r="E45" s="250" t="str">
        <f>VLOOKUP("Quadratrohr 100 mm, Kessel",Sprachindex!A:Z,Info!$O$6,FALSE)</f>
        <v>Quadratrohr 100 mm, Kessel</v>
      </c>
      <c r="F45" s="251"/>
      <c r="G45" s="251"/>
      <c r="H45" s="101" t="str">
        <f>VLOOKUP("Dimension wählen:",Sprachindex!A:Z,Info!$O$6,FALSE)</f>
        <v>Dimension wählen:</v>
      </c>
      <c r="I45" s="252"/>
      <c r="J45" s="267"/>
      <c r="K45" s="267"/>
      <c r="L45" s="96" t="str">
        <f t="shared" si="0"/>
        <v xml:space="preserve"> </v>
      </c>
      <c r="M45" s="130"/>
      <c r="N45" s="87"/>
      <c r="O45" s="1"/>
      <c r="P45" s="191" t="e">
        <f>ROUNDUP($A45/R45,0)*R45 &amp; "  " &amp; Formeln!$A$111</f>
        <v>#VALUE!</v>
      </c>
      <c r="Q45" s="191" t="str">
        <f>ROUNDUP($A45/S45,0)*S45 &amp; "  " &amp; Formeln!$A$111</f>
        <v>0  STK</v>
      </c>
      <c r="R45" s="191" t="str">
        <f>IF(I45=Formeln!$A$146,"",1)</f>
        <v/>
      </c>
      <c r="S45" s="191">
        <v>1</v>
      </c>
      <c r="T45" s="64">
        <v>150402</v>
      </c>
      <c r="U45" s="64">
        <v>150400</v>
      </c>
      <c r="V45" s="64">
        <v>150401</v>
      </c>
      <c r="W45" s="64">
        <v>150403</v>
      </c>
      <c r="X45" s="64"/>
      <c r="Y45" s="64">
        <v>150405</v>
      </c>
      <c r="Z45" s="71"/>
      <c r="AA45" s="71"/>
      <c r="AB45" s="71"/>
      <c r="AC45" s="72"/>
      <c r="AD45" s="71"/>
      <c r="AE45" s="71"/>
      <c r="AF45" s="65">
        <f>IF($N$21=1,V45,IF($N$21=2,T45,IF($N$21=3,AC45,IF($N$21=4,Z45,IF($N$21=5,AA45,IF($N$21=6,AB45,IF($N$21=7,W45,IF($N$21=8,AD45,IF($N$21=9,X45,IF($N$21=10,AE45,IF($N$21=11,Y45,IF($N$21=12,U45,0))))))))))))</f>
        <v>0</v>
      </c>
      <c r="AG45" s="64">
        <v>150422</v>
      </c>
      <c r="AH45" s="64">
        <v>150420</v>
      </c>
      <c r="AI45" s="64">
        <v>150421</v>
      </c>
      <c r="AJ45" s="64">
        <v>150423</v>
      </c>
      <c r="AK45" s="64"/>
      <c r="AL45" s="64">
        <v>150425</v>
      </c>
      <c r="AM45" s="71"/>
      <c r="AN45" s="71"/>
      <c r="AO45" s="71"/>
      <c r="AP45" s="72"/>
      <c r="AQ45" s="71"/>
      <c r="AR45" s="71"/>
      <c r="AS45" s="65">
        <f>IF($N$21=1,AI45,IF($N$21=2,AG45,IF($N$21=3,AP45,IF($N$21=4,AM45,IF($N$21=5,AN45,IF($N$21=6,AO45,IF($N$21=7,AJ45,IF($N$21=8,AQ45,IF($N$21=9,AK45,IF($N$21=10,AR45,IF($N$21=11,AL45,IF($N$21=12,AH45,0))))))))))))</f>
        <v>0</v>
      </c>
    </row>
    <row r="46" spans="1:45" ht="32.1" customHeight="1">
      <c r="A46" s="131"/>
      <c r="B46" s="96" t="str">
        <f>VLOOKUP("STK",Sprachindex!A:Z,Info!$O$6,FALSE)</f>
        <v>STK</v>
      </c>
      <c r="C46" s="95"/>
      <c r="D46" s="95">
        <f>IF($N$21=1,V46,IF($N$21=2,T46,IF($N$21=3,AC46,IF($N$21=4,Z46,IF($N$21=5,AA46,IF($N$21=6,AB46,IF($N$21=7,W46,IF($N$21=8,AD46,IF($N$21=9,X46,IF($N$21=10,AE46,IF($N$21=11,Y46,IF($N$21=12,U46,0))))))))))))</f>
        <v>0</v>
      </c>
      <c r="E46" s="250" t="str">
        <f>VLOOKUP("Quadratrohr 80 mm, Speiereinmündung",Sprachindex!A:Z,Info!$O$6,FALSE)</f>
        <v>Quadratrohr 80 mm, Speiereinmündung</v>
      </c>
      <c r="F46" s="251"/>
      <c r="G46" s="251"/>
      <c r="H46" s="251"/>
      <c r="I46" s="251"/>
      <c r="J46" s="251"/>
      <c r="K46" s="257"/>
      <c r="L46" s="96" t="str">
        <f t="shared" ref="L46" si="7">IF(OR(A46="",R46="",S46="")," ",IF($N$11=1,P46,IF($N$11=2,Q46,0)))</f>
        <v xml:space="preserve"> </v>
      </c>
      <c r="M46" s="130"/>
      <c r="N46" s="87"/>
      <c r="O46" s="1"/>
      <c r="P46" s="191" t="str">
        <f>ROUNDUP($A46/R46,0)*R46 &amp; "  " &amp; Formeln!$A$111</f>
        <v>0  STK</v>
      </c>
      <c r="Q46" s="191" t="str">
        <f>ROUNDUP($A46/S46,0)*S46 &amp; "  " &amp; Formeln!$A$111</f>
        <v>0  STK</v>
      </c>
      <c r="R46" s="191">
        <v>1</v>
      </c>
      <c r="S46" s="191">
        <v>1</v>
      </c>
      <c r="T46" s="64" t="s">
        <v>2201</v>
      </c>
      <c r="U46" s="78" t="s">
        <v>2202</v>
      </c>
      <c r="V46" s="64"/>
      <c r="W46" s="64" t="s">
        <v>2203</v>
      </c>
      <c r="X46" s="64"/>
      <c r="Y46" s="64" t="s">
        <v>2204</v>
      </c>
      <c r="Z46" s="71"/>
      <c r="AA46" s="71"/>
      <c r="AB46" s="71"/>
      <c r="AC46" s="72"/>
      <c r="AD46" s="71"/>
      <c r="AE46" s="71"/>
    </row>
    <row r="47" spans="1:45" ht="32.1" customHeight="1">
      <c r="A47" s="131"/>
      <c r="B47" s="96" t="str">
        <f>VLOOKUP("STK",Sprachindex!A:Z,Info!$O$6,FALSE)</f>
        <v>STK</v>
      </c>
      <c r="C47" s="95"/>
      <c r="D47" s="95">
        <f>IF($N$21=1,V47,IF($N$21=2,T47,IF($N$21=3,AC47,IF($N$21=4,Z47,IF($N$21=5,AA47,IF($N$21=6,AB47,IF($N$21=7,W47,IF($N$21=8,AD47,IF($N$21=9,X47,IF($N$21=10,AE47,IF($N$21=11,Y47,IF($N$21=12,U47,0))))))))))))</f>
        <v>0</v>
      </c>
      <c r="E47" s="250" t="str">
        <f>VLOOKUP("Quadratrohr 100 mm, Speiereinmündung",Sprachindex!A:Z,Info!$O$6,FALSE)</f>
        <v>Quadratrohr 100 mm, Speiereinmündung</v>
      </c>
      <c r="F47" s="251"/>
      <c r="G47" s="251"/>
      <c r="H47" s="251"/>
      <c r="I47" s="251"/>
      <c r="J47" s="251"/>
      <c r="K47" s="257"/>
      <c r="L47" s="96" t="str">
        <f t="shared" si="0"/>
        <v xml:space="preserve"> </v>
      </c>
      <c r="M47" s="130"/>
      <c r="N47" s="87"/>
      <c r="O47" s="1"/>
      <c r="P47" s="191" t="str">
        <f>ROUNDUP($A47/R47,0)*R47 &amp; "  " &amp; Formeln!$A$111</f>
        <v>0  STK</v>
      </c>
      <c r="Q47" s="191" t="str">
        <f>ROUNDUP($A47/S47,0)*S47 &amp; "  " &amp; Formeln!$A$111</f>
        <v>0  STK</v>
      </c>
      <c r="R47" s="191">
        <v>1</v>
      </c>
      <c r="S47" s="191">
        <v>1</v>
      </c>
      <c r="T47" s="64">
        <v>150502</v>
      </c>
      <c r="U47" s="64">
        <v>150500</v>
      </c>
      <c r="V47" s="64">
        <v>150501</v>
      </c>
      <c r="W47" s="64">
        <v>150503</v>
      </c>
      <c r="X47" s="64"/>
      <c r="Y47" s="64">
        <v>150505</v>
      </c>
      <c r="Z47" s="71"/>
      <c r="AA47" s="71"/>
      <c r="AB47" s="71"/>
      <c r="AC47" s="72"/>
      <c r="AD47" s="71"/>
      <c r="AE47" s="71"/>
    </row>
    <row r="48" spans="1:45" ht="32.1" customHeight="1">
      <c r="A48" s="131"/>
      <c r="B48" s="96" t="str">
        <f>VLOOKUP("STK",Sprachindex!A:Z,Info!$O$6,FALSE)</f>
        <v>STK</v>
      </c>
      <c r="C48" s="95"/>
      <c r="D48" s="95">
        <f>IF($N$21=1,V48,IF($N$21=2,T48,IF($N$21=3,AC48,IF($N$21=4,Z48,IF($N$21=5,AA48,IF($N$21=6,AB48,IF($N$21=7,W48,IF($N$21=8,AD48,IF($N$21=9,X48,IF($N$21=10,AE48,IF($N$21=11,Y48,IF($N$21=12,U48,0))))))))))))</f>
        <v>0</v>
      </c>
      <c r="E48" s="250" t="str">
        <f>VLOOKUP("Quadratrohr 80 mm, mit Reinigungsöffnung",Sprachindex!A:Z,Info!$O$6,FALSE)</f>
        <v>Quadratrohr 80 mm, mit Reinigungsöffnung</v>
      </c>
      <c r="F48" s="251"/>
      <c r="G48" s="251"/>
      <c r="H48" s="251"/>
      <c r="I48" s="251"/>
      <c r="J48" s="251"/>
      <c r="K48" s="257"/>
      <c r="L48" s="96" t="str">
        <f t="shared" ref="L48" si="8">IF(OR(A48="",R48="",S48="")," ",IF($N$11=1,P48,IF($N$11=2,Q48,0)))</f>
        <v xml:space="preserve"> </v>
      </c>
      <c r="M48" s="130"/>
      <c r="N48" s="87"/>
      <c r="O48" s="1"/>
      <c r="P48" s="191" t="str">
        <f>ROUNDUP($A48/R48,0)*R48 &amp; "  " &amp; Formeln!$A$111</f>
        <v>0  STK</v>
      </c>
      <c r="Q48" s="191" t="str">
        <f>ROUNDUP($A48/S48,0)*S48 &amp; "  " &amp; Formeln!$A$111</f>
        <v>0  STK</v>
      </c>
      <c r="R48" s="191">
        <v>1</v>
      </c>
      <c r="S48" s="191">
        <v>1</v>
      </c>
      <c r="T48" s="64" t="s">
        <v>2205</v>
      </c>
      <c r="U48" s="64" t="s">
        <v>2206</v>
      </c>
      <c r="V48" s="64"/>
      <c r="W48" s="64" t="s">
        <v>2207</v>
      </c>
      <c r="X48" s="64"/>
      <c r="Y48" s="64" t="s">
        <v>2208</v>
      </c>
      <c r="Z48" s="71"/>
      <c r="AA48" s="71"/>
      <c r="AB48" s="71"/>
      <c r="AC48" s="72"/>
      <c r="AD48" s="71"/>
      <c r="AE48" s="71"/>
    </row>
    <row r="49" spans="1:138" ht="32.1" customHeight="1">
      <c r="A49" s="131"/>
      <c r="B49" s="96" t="str">
        <f>VLOOKUP("STK",Sprachindex!A:Z,Info!$O$6,FALSE)</f>
        <v>STK</v>
      </c>
      <c r="C49" s="95"/>
      <c r="D49" s="95">
        <f>IF($N$21=1,V49,IF($N$21=2,T49,IF($N$21=3,AC49,IF($N$21=4,Z49,IF($N$21=5,AA49,IF($N$21=6,AB49,IF($N$21=7,W49,IF($N$21=8,AD49,IF($N$21=9,X49,IF($N$21=10,AE49,IF($N$21=11,Y49,IF($N$21=12,U49,0))))))))))))</f>
        <v>0</v>
      </c>
      <c r="E49" s="250" t="str">
        <f>VLOOKUP("Quadratrohr 100 mm, mit Reinigungsöffnung",Sprachindex!A:Z,Info!$O$6,FALSE)</f>
        <v>Quadratrohr 100 mm, mit Reinigungsöffnung</v>
      </c>
      <c r="F49" s="251"/>
      <c r="G49" s="251"/>
      <c r="H49" s="251"/>
      <c r="I49" s="251"/>
      <c r="J49" s="251"/>
      <c r="K49" s="257"/>
      <c r="L49" s="96" t="str">
        <f t="shared" si="0"/>
        <v xml:space="preserve"> </v>
      </c>
      <c r="M49" s="130"/>
      <c r="N49" s="87"/>
      <c r="O49" s="1"/>
      <c r="P49" s="191" t="str">
        <f>ROUNDUP($A49/R49,0)*R49 &amp; "  " &amp; Formeln!$A$111</f>
        <v>0  STK</v>
      </c>
      <c r="Q49" s="191" t="str">
        <f>ROUNDUP($A49/S49,0)*S49 &amp; "  " &amp; Formeln!$A$111</f>
        <v>0  STK</v>
      </c>
      <c r="R49" s="191">
        <v>1</v>
      </c>
      <c r="S49" s="191">
        <v>1</v>
      </c>
      <c r="T49" s="64">
        <v>150142</v>
      </c>
      <c r="U49" s="64">
        <v>150140</v>
      </c>
      <c r="V49" s="64">
        <v>150141</v>
      </c>
      <c r="W49" s="64">
        <v>150143</v>
      </c>
      <c r="X49" s="64"/>
      <c r="Y49" s="64">
        <v>150145</v>
      </c>
      <c r="Z49" s="71"/>
      <c r="AA49" s="71"/>
      <c r="AB49" s="71"/>
      <c r="AC49" s="72"/>
      <c r="AD49" s="71"/>
      <c r="AE49" s="71"/>
    </row>
    <row r="50" spans="1:138" ht="32.1" customHeight="1">
      <c r="A50" s="131"/>
      <c r="B50" s="96" t="str">
        <f>VLOOKUP("STK",Sprachindex!A:Z,Info!$O$6,FALSE)</f>
        <v>STK</v>
      </c>
      <c r="C50" s="95"/>
      <c r="D50" s="95">
        <f>IF($N$21=1,V50,IF($N$21=2,T50,IF($N$21=3,AC50,IF($N$21=4,Z50,IF($N$21=5,AA50,IF($N$21=6,AB50,IF($N$21=7,W50,IF($N$21=8,AD50,IF($N$21=9,X50,IF($N$21=10,AE50,IF($N$21=11,Y50,IF($N$21=12,U50,0))))))))))))</f>
        <v>0</v>
      </c>
      <c r="E50" s="250" t="str">
        <f>VLOOKUP("Wassersammler für Quadratrohr 100 mm",Sprachindex!A:Z,Info!$O$6,FALSE)</f>
        <v>Wassersammler für Quadratrohr 100 mm</v>
      </c>
      <c r="F50" s="251"/>
      <c r="G50" s="251"/>
      <c r="H50" s="251"/>
      <c r="I50" s="251"/>
      <c r="J50" s="251"/>
      <c r="K50" s="257"/>
      <c r="L50" s="96" t="str">
        <f t="shared" si="0"/>
        <v xml:space="preserve"> </v>
      </c>
      <c r="M50" s="130"/>
      <c r="N50" s="87"/>
      <c r="O50" s="1"/>
      <c r="P50" s="191" t="str">
        <f>ROUNDUP($A50/R50,0)*R50 &amp; "  " &amp; Formeln!$A$111</f>
        <v>0  STK</v>
      </c>
      <c r="Q50" s="191" t="str">
        <f>ROUNDUP($A50/S50,0)*S50 &amp; "  " &amp; Formeln!$A$111</f>
        <v>0  STK</v>
      </c>
      <c r="R50" s="191">
        <v>1</v>
      </c>
      <c r="S50" s="191">
        <v>1</v>
      </c>
      <c r="T50" s="64" t="s">
        <v>2209</v>
      </c>
      <c r="U50" s="64" t="s">
        <v>2210</v>
      </c>
      <c r="V50" s="64"/>
      <c r="W50" s="64" t="s">
        <v>2211</v>
      </c>
      <c r="X50" s="64"/>
      <c r="Y50" s="64" t="s">
        <v>2212</v>
      </c>
      <c r="Z50" s="71"/>
      <c r="AA50" s="71"/>
      <c r="AB50" s="71"/>
      <c r="AC50" s="72"/>
      <c r="AD50" s="71"/>
      <c r="AE50" s="71"/>
    </row>
    <row r="51" spans="1:138" ht="32.1" customHeight="1">
      <c r="A51" s="131"/>
      <c r="B51" s="96" t="str">
        <f>VLOOKUP("STK",Sprachindex!A:Z,Info!$O$6,FALSE)</f>
        <v>STK</v>
      </c>
      <c r="C51" s="95"/>
      <c r="D51" s="95">
        <f>IF(J51=Formeln!A264,AF51,IF(J51=Formeln!A265,AS51,0))</f>
        <v>0</v>
      </c>
      <c r="E51" s="250" t="str">
        <f>VLOOKUP("Patentniete",Sprachindex!A:Z,Info!$O$6,FALSE)</f>
        <v>Patentniete</v>
      </c>
      <c r="F51" s="251"/>
      <c r="G51" s="251"/>
      <c r="H51" s="251"/>
      <c r="I51" s="251"/>
      <c r="J51" s="301"/>
      <c r="K51" s="309"/>
      <c r="L51" s="96" t="str">
        <f t="shared" ref="L51" si="9">IF(OR(A51="",R51="",S51="")," ",IF($N$11=1,$P51,IF($N$11=2,Q51,0)))</f>
        <v xml:space="preserve"> </v>
      </c>
      <c r="M51" s="130"/>
      <c r="N51" s="87"/>
      <c r="O51" s="1"/>
      <c r="P51" s="191" t="e">
        <f>ROUNDUP($A51/R51,0)*R51 &amp; "  " &amp; Formeln!$A$111</f>
        <v>#VALUE!</v>
      </c>
      <c r="Q51" s="191" t="str">
        <f>ROUNDUP($A51/S51,0)*S51 &amp; "  " &amp; Formeln!$A$111</f>
        <v>0  STK</v>
      </c>
      <c r="R51" s="191" t="str">
        <f>IF($J51=Formeln!$A$264,1000,IF($J51=Formeln!$A$265,500,""))</f>
        <v/>
      </c>
      <c r="S51" s="191">
        <v>1</v>
      </c>
      <c r="T51" s="64" t="s">
        <v>2055</v>
      </c>
      <c r="U51" s="64" t="s">
        <v>2213</v>
      </c>
      <c r="V51" s="64" t="s">
        <v>2054</v>
      </c>
      <c r="W51" s="64" t="s">
        <v>2057</v>
      </c>
      <c r="X51" s="64"/>
      <c r="Y51" s="64" t="s">
        <v>2214</v>
      </c>
      <c r="Z51" s="64" t="s">
        <v>2215</v>
      </c>
      <c r="AA51" s="64" t="s">
        <v>2216</v>
      </c>
      <c r="AB51" s="64" t="s">
        <v>2217</v>
      </c>
      <c r="AC51" s="64"/>
      <c r="AD51" s="64" t="s">
        <v>2214</v>
      </c>
      <c r="AE51" s="71"/>
      <c r="AF51" s="65">
        <f>IF($N$21=1,V51,IF($N$21=2,T51,IF($N$21=3,AC51,IF($N$21=4,Z51,IF($N$21=5,AA51,IF($N$21=6,AB51,IF($N$21=7,W51,IF($N$21=8,AD51,IF($N$21=9,X51,IF($N$21=10,AE51,IF($N$21=11,Y51,IF($N$21=12,U51,0))))))))))))</f>
        <v>0</v>
      </c>
      <c r="AG51" s="74" t="s">
        <v>956</v>
      </c>
      <c r="AH51" s="64" t="s">
        <v>2218</v>
      </c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65">
        <f>IF($N$21=1,AI51,IF($N$21=2,AG51,IF($N$21=3,AP51,IF($N$21=4,AM51,IF($N$21=5,AN51,IF($N$21=6,AO51,IF($N$21=7,AJ51,IF($N$21=8,AQ51,IF($N$21=9,AK51,IF($N$21=10,AR51,IF($N$21=11,AL51,IF($N$21=12,AH51,0))))))))))))</f>
        <v>0</v>
      </c>
      <c r="AT51" s="74"/>
      <c r="AU51" s="74" t="s">
        <v>958</v>
      </c>
    </row>
    <row r="52" spans="1:138" ht="32.1" customHeight="1">
      <c r="A52" s="131"/>
      <c r="B52" s="96" t="str">
        <f>VLOOKUP("STK",Sprachindex!A:Z,Info!$O$6,FALSE)</f>
        <v>STK</v>
      </c>
      <c r="C52" s="95"/>
      <c r="D52" s="95">
        <f>IF(J52=Formeln!A150,345020,IF(J52=Formeln!A151,345021,IF(J52=Formeln!A152,345022,0)))</f>
        <v>0</v>
      </c>
      <c r="E52" s="250" t="str">
        <f>VLOOKUP("Rohrschellendorn",Sprachindex!A:Z,Info!$O$6,FALSE)</f>
        <v>Rohrschellendorn</v>
      </c>
      <c r="F52" s="251"/>
      <c r="G52" s="251"/>
      <c r="H52" s="251"/>
      <c r="I52" s="101" t="str">
        <f>VLOOKUP("Länge wählen:",Sprachindex!A:Z,Info!$O$6,FALSE)</f>
        <v>Länge wählen:</v>
      </c>
      <c r="J52" s="301"/>
      <c r="K52" s="309"/>
      <c r="L52" s="96" t="str">
        <f t="shared" si="0"/>
        <v xml:space="preserve"> </v>
      </c>
      <c r="M52" s="130"/>
      <c r="N52" s="87"/>
      <c r="O52" s="1"/>
      <c r="P52" s="191" t="e">
        <f>ROUNDUP($A52/R52,0)*R52 &amp; "  " &amp; Formeln!$A$111</f>
        <v>#VALUE!</v>
      </c>
      <c r="Q52" s="191" t="str">
        <f>ROUNDUP($A52/S52,0)*S52 &amp; "  " &amp; Formeln!$A$111</f>
        <v>0  STK</v>
      </c>
      <c r="R52" s="191" t="str">
        <f>IF(J52=Formeln!$A$149,"",25)</f>
        <v/>
      </c>
      <c r="S52" s="191">
        <v>1</v>
      </c>
    </row>
    <row r="53" spans="1:138" ht="32.1" customHeight="1">
      <c r="A53" s="131"/>
      <c r="B53" s="96" t="str">
        <f>VLOOKUP("STK",Sprachindex!A:Z,Info!$O$6,FALSE)</f>
        <v>STK</v>
      </c>
      <c r="C53" s="95"/>
      <c r="D53" s="95">
        <f>IF(J53=Formeln!A150,345030,IF(J53=Formeln!A151,345031,IF(J53=Formeln!A152,345032,0)))</f>
        <v>0</v>
      </c>
      <c r="E53" s="250" t="str">
        <f>VLOOKUP("Rohrschellendorn, für Dübel ",Sprachindex!A:Z,Info!$O$6,FALSE)</f>
        <v xml:space="preserve">Rohrschellendorn, für Dübel </v>
      </c>
      <c r="F53" s="251"/>
      <c r="G53" s="251"/>
      <c r="H53" s="251"/>
      <c r="I53" s="101" t="str">
        <f>VLOOKUP("Länge wählen:",Sprachindex!A:Z,Info!$O$6,FALSE)</f>
        <v>Länge wählen:</v>
      </c>
      <c r="J53" s="301"/>
      <c r="K53" s="309"/>
      <c r="L53" s="96" t="str">
        <f t="shared" si="0"/>
        <v xml:space="preserve"> </v>
      </c>
      <c r="M53" s="130"/>
      <c r="N53" s="87"/>
      <c r="O53" s="1"/>
      <c r="P53" s="191" t="e">
        <f>ROUNDUP($A53/R53,0)*R53 &amp; "  " &amp; Formeln!$A$111</f>
        <v>#VALUE!</v>
      </c>
      <c r="Q53" s="191" t="str">
        <f>ROUNDUP($A53/S53,0)*S53 &amp; "  " &amp; Formeln!$A$111</f>
        <v>0  STK</v>
      </c>
      <c r="R53" s="191" t="str">
        <f>IF(J53=Formeln!$A$149,"",25)</f>
        <v/>
      </c>
      <c r="S53" s="191">
        <v>1</v>
      </c>
    </row>
    <row r="54" spans="1:138" ht="32.1" customHeight="1">
      <c r="A54" s="131"/>
      <c r="B54" s="96" t="str">
        <f>VLOOKUP("STK",Sprachindex!A:Z,Info!$O$6,FALSE)</f>
        <v>STK</v>
      </c>
      <c r="C54" s="95"/>
      <c r="D54" s="95">
        <f>IF(J54=Formeln!A278,345040,IF(J54=Formeln!A279,345041,IF(J54=Formeln!A280,345042,0)))</f>
        <v>0</v>
      </c>
      <c r="E54" s="250" t="str">
        <f>VLOOKUP("WDVS-Rohrschellendübel Ø 10",Sprachindex!A:Z,Info!$O$6,FALSE)</f>
        <v>WDVS-Rohrschellendübel Ø 10</v>
      </c>
      <c r="F54" s="251"/>
      <c r="G54" s="251"/>
      <c r="H54" s="251"/>
      <c r="I54" s="101" t="str">
        <f>VLOOKUP("Länge wählen:",Sprachindex!A:Z,Info!$O$6,FALSE)</f>
        <v>Länge wählen:</v>
      </c>
      <c r="J54" s="301"/>
      <c r="K54" s="309"/>
      <c r="L54" s="96" t="str">
        <f t="shared" si="0"/>
        <v xml:space="preserve"> </v>
      </c>
      <c r="M54" s="130"/>
      <c r="N54" s="87"/>
      <c r="O54" s="1"/>
      <c r="P54" s="191" t="e">
        <f>ROUNDUP($A54/R54,0)*R54 &amp; "  " &amp; Formeln!$A$111</f>
        <v>#VALUE!</v>
      </c>
      <c r="Q54" s="191" t="str">
        <f>ROUNDUP($A54/S54,0)*S54 &amp; "  " &amp; Formeln!$A$111</f>
        <v>0  STK</v>
      </c>
      <c r="R54" s="191" t="str">
        <f>IF(J54=Formeln!$A$277,"",25)</f>
        <v/>
      </c>
      <c r="S54" s="191">
        <v>1</v>
      </c>
    </row>
    <row r="55" spans="1:138" ht="32.1" customHeight="1">
      <c r="A55" s="131"/>
      <c r="B55" s="96" t="str">
        <f>VLOOKUP("STK",Sprachindex!A:Z,Info!$O$6,FALSE)</f>
        <v>STK</v>
      </c>
      <c r="C55" s="95"/>
      <c r="D55" s="95">
        <v>345015</v>
      </c>
      <c r="E55" s="250" t="str">
        <f>VLOOKUP("M10 Gewindedorn",Sprachindex!A:Z,Info!$O$6,FALSE)</f>
        <v>M10 Gewindedorn</v>
      </c>
      <c r="F55" s="251"/>
      <c r="G55" s="251"/>
      <c r="H55" s="251"/>
      <c r="I55" s="251"/>
      <c r="J55" s="307" t="str">
        <f>VLOOKUP("195 mm lang",Sprachindex!A:Z,Info!$O$6,FALSE)</f>
        <v>195 mm lang</v>
      </c>
      <c r="K55" s="308"/>
      <c r="L55" s="96" t="str">
        <f t="shared" si="0"/>
        <v xml:space="preserve"> </v>
      </c>
      <c r="M55" s="130"/>
      <c r="N55" s="87"/>
      <c r="O55" s="1"/>
      <c r="P55" s="191" t="str">
        <f>ROUNDUP($A55/R55,0)*R55 &amp; "  " &amp; Formeln!$A$111</f>
        <v>0  STK</v>
      </c>
      <c r="Q55" s="191" t="str">
        <f>ROUNDUP($A55/S55,0)*S55 &amp; "  " &amp; Formeln!$A$111</f>
        <v>0  STK</v>
      </c>
      <c r="R55" s="191">
        <v>100</v>
      </c>
      <c r="S55" s="191">
        <v>1</v>
      </c>
    </row>
    <row r="56" spans="1:138" ht="32.1" customHeight="1">
      <c r="A56" s="131"/>
      <c r="B56" s="96" t="str">
        <f>VLOOKUP("STK",Sprachindex!A:Z,Info!$O$6,FALSE)</f>
        <v>STK</v>
      </c>
      <c r="C56" s="95"/>
      <c r="D56" s="95">
        <f>IF(J56=Formeln!A157,420305,IF(J56=Formeln!A158,420306,0))</f>
        <v>0</v>
      </c>
      <c r="E56" s="250" t="str">
        <f>VLOOKUP("Rohrschellenhalter, f.WDVS ",Sprachindex!A:Z,Info!$O$6,FALSE)</f>
        <v xml:space="preserve">Rohrschellenhalter, f.WDVS </v>
      </c>
      <c r="F56" s="251"/>
      <c r="G56" s="251"/>
      <c r="H56" s="251"/>
      <c r="I56" s="101" t="str">
        <f>VLOOKUP("Länge wählen:",Sprachindex!A:Z,Info!$O$6,FALSE)</f>
        <v>Länge wählen:</v>
      </c>
      <c r="J56" s="301"/>
      <c r="K56" s="309"/>
      <c r="L56" s="96" t="str">
        <f t="shared" si="0"/>
        <v xml:space="preserve"> </v>
      </c>
      <c r="M56" s="130"/>
      <c r="N56" s="87"/>
      <c r="O56" s="1"/>
      <c r="P56" s="191" t="e">
        <f>ROUNDUP($A56/R56,0)*R56 &amp; "  " &amp; Formeln!$A$111</f>
        <v>#VALUE!</v>
      </c>
      <c r="Q56" s="191" t="str">
        <f>ROUNDUP($A56/S56,0)*S56 &amp; "  " &amp; Formeln!$A$111</f>
        <v>0  STK</v>
      </c>
      <c r="R56" s="191" t="str">
        <f>IF(J56=Formeln!$A$156,"",4)</f>
        <v/>
      </c>
      <c r="S56" s="191">
        <v>1</v>
      </c>
      <c r="T56" s="206" t="s">
        <v>48</v>
      </c>
      <c r="U56" s="49" t="s">
        <v>79</v>
      </c>
      <c r="V56" s="49" t="s">
        <v>74</v>
      </c>
      <c r="W56" s="49" t="s">
        <v>77</v>
      </c>
      <c r="X56" s="49" t="s">
        <v>75</v>
      </c>
      <c r="Y56" s="49" t="s">
        <v>84</v>
      </c>
      <c r="Z56" s="49" t="s">
        <v>78</v>
      </c>
      <c r="AA56" s="49" t="s">
        <v>82</v>
      </c>
      <c r="AB56" s="49" t="s">
        <v>83</v>
      </c>
      <c r="AC56" s="49" t="s">
        <v>370</v>
      </c>
      <c r="AD56" s="49" t="s">
        <v>81</v>
      </c>
      <c r="AE56" s="49" t="s">
        <v>76</v>
      </c>
      <c r="AF56" s="49"/>
      <c r="AG56" s="74"/>
      <c r="AH56" s="49" t="s">
        <v>48</v>
      </c>
      <c r="AI56" s="49" t="s">
        <v>79</v>
      </c>
      <c r="AJ56" s="49" t="s">
        <v>74</v>
      </c>
      <c r="AK56" s="49" t="s">
        <v>77</v>
      </c>
      <c r="AL56" s="49" t="s">
        <v>75</v>
      </c>
      <c r="AM56" s="49" t="s">
        <v>84</v>
      </c>
      <c r="AN56" s="49" t="s">
        <v>78</v>
      </c>
      <c r="AO56" s="49" t="s">
        <v>82</v>
      </c>
      <c r="AP56" s="49" t="s">
        <v>83</v>
      </c>
      <c r="AQ56" s="49" t="s">
        <v>370</v>
      </c>
      <c r="AR56" s="49" t="s">
        <v>81</v>
      </c>
      <c r="AS56" s="49" t="s">
        <v>76</v>
      </c>
      <c r="AT56" s="49"/>
      <c r="AU56" s="74"/>
      <c r="AV56" s="49" t="s">
        <v>48</v>
      </c>
      <c r="AW56" s="49" t="s">
        <v>79</v>
      </c>
      <c r="AX56" s="49" t="s">
        <v>74</v>
      </c>
      <c r="AY56" s="49" t="s">
        <v>77</v>
      </c>
      <c r="AZ56" s="49" t="s">
        <v>75</v>
      </c>
      <c r="BA56" s="49" t="s">
        <v>84</v>
      </c>
      <c r="BB56" s="49" t="s">
        <v>78</v>
      </c>
      <c r="BC56" s="49" t="s">
        <v>82</v>
      </c>
      <c r="BD56" s="49" t="s">
        <v>83</v>
      </c>
      <c r="BE56" s="49" t="s">
        <v>370</v>
      </c>
      <c r="BF56" s="49" t="s">
        <v>81</v>
      </c>
      <c r="BG56" s="49" t="s">
        <v>76</v>
      </c>
      <c r="BH56" s="49"/>
      <c r="BI56" s="74"/>
      <c r="BJ56" s="49" t="s">
        <v>48</v>
      </c>
      <c r="BK56" s="49" t="s">
        <v>79</v>
      </c>
      <c r="BL56" s="49" t="s">
        <v>74</v>
      </c>
      <c r="BM56" s="49" t="s">
        <v>77</v>
      </c>
      <c r="BN56" s="49" t="s">
        <v>75</v>
      </c>
      <c r="BO56" s="49" t="s">
        <v>84</v>
      </c>
      <c r="BP56" s="49" t="s">
        <v>78</v>
      </c>
      <c r="BQ56" s="49" t="s">
        <v>82</v>
      </c>
      <c r="BR56" s="49" t="s">
        <v>83</v>
      </c>
      <c r="BS56" s="49" t="s">
        <v>370</v>
      </c>
      <c r="BT56" s="49" t="s">
        <v>81</v>
      </c>
      <c r="BU56" s="49" t="s">
        <v>76</v>
      </c>
      <c r="BV56" s="49"/>
      <c r="BW56" s="74"/>
      <c r="BX56" s="49" t="s">
        <v>48</v>
      </c>
      <c r="BY56" s="49" t="s">
        <v>79</v>
      </c>
      <c r="BZ56" s="49" t="s">
        <v>74</v>
      </c>
      <c r="CA56" s="49" t="s">
        <v>77</v>
      </c>
      <c r="CB56" s="49" t="s">
        <v>75</v>
      </c>
      <c r="CC56" s="49" t="s">
        <v>84</v>
      </c>
      <c r="CD56" s="49" t="s">
        <v>78</v>
      </c>
      <c r="CE56" s="49" t="s">
        <v>82</v>
      </c>
      <c r="CF56" s="49" t="s">
        <v>83</v>
      </c>
      <c r="CG56" s="49" t="s">
        <v>370</v>
      </c>
      <c r="CH56" s="49" t="s">
        <v>81</v>
      </c>
      <c r="CI56" s="49" t="s">
        <v>76</v>
      </c>
      <c r="CJ56" s="49"/>
      <c r="CK56" s="74"/>
    </row>
    <row r="57" spans="1:138" ht="32.1" customHeight="1">
      <c r="A57" s="131"/>
      <c r="B57" s="96" t="str">
        <f>VLOOKUP("STK",Sprachindex!A:Z,Info!$O$6,FALSE)</f>
        <v>STK</v>
      </c>
      <c r="C57" s="95"/>
      <c r="D57" s="95">
        <f>AF57</f>
        <v>0</v>
      </c>
      <c r="E57" s="250" t="str">
        <f>VLOOKUP("Wandmontageplatte",Sprachindex!A:Z,Info!$O$6,FALSE)</f>
        <v>Wandmontageplatte</v>
      </c>
      <c r="F57" s="251"/>
      <c r="G57" s="251"/>
      <c r="H57" s="251"/>
      <c r="I57" s="251"/>
      <c r="J57" s="307"/>
      <c r="K57" s="308"/>
      <c r="L57" s="96" t="str">
        <f t="shared" si="0"/>
        <v xml:space="preserve"> </v>
      </c>
      <c r="M57" s="130"/>
      <c r="N57" s="87"/>
      <c r="O57" s="1"/>
      <c r="P57" s="191" t="str">
        <f>ROUNDUP($A57/R57,0)*R57 &amp; "  " &amp; Formeln!$A$111</f>
        <v>0  STK</v>
      </c>
      <c r="Q57" s="191" t="str">
        <f>ROUNDUP($A57/S57,0)*S57 &amp; "  " &amp; Formeln!$A$111</f>
        <v>0  STK</v>
      </c>
      <c r="R57" s="191">
        <v>6</v>
      </c>
      <c r="S57" s="191">
        <v>1</v>
      </c>
      <c r="T57" s="64">
        <v>529301</v>
      </c>
      <c r="U57" s="64">
        <v>529304</v>
      </c>
      <c r="V57" s="64">
        <v>529302</v>
      </c>
      <c r="W57" s="64">
        <v>529305</v>
      </c>
      <c r="X57" s="64">
        <v>529303</v>
      </c>
      <c r="Y57" s="64"/>
      <c r="Z57" s="64">
        <v>529306</v>
      </c>
      <c r="AA57" s="64">
        <v>529307</v>
      </c>
      <c r="AB57" s="64">
        <v>529308</v>
      </c>
      <c r="AC57" s="64">
        <v>529310</v>
      </c>
      <c r="AD57" s="64">
        <v>529311</v>
      </c>
      <c r="AE57" s="71">
        <v>529312</v>
      </c>
      <c r="AF57" s="74">
        <f>IF($N$21=1,V57,IF($N$21=2,X57,IF($N$21=3,AE57,IF($N$21=4,W57,IF($N$21=5,Z57,IF($N$21=6,AA57,IF($N$21=7,U57,IF($N$21=8,AB57,IF($N$21=9,Y57,IF($N$21=10,AD57,IF($N$21=11,AC57,IF($N$21=12,T57,0))))))))))))</f>
        <v>0</v>
      </c>
      <c r="AG57" s="74"/>
    </row>
    <row r="58" spans="1:138" ht="32.1" customHeight="1">
      <c r="A58" s="131"/>
      <c r="B58" s="96" t="str">
        <f>VLOOKUP("STK",Sprachindex!A:Z,Info!$O$6,FALSE)</f>
        <v>STK</v>
      </c>
      <c r="C58" s="95"/>
      <c r="D58" s="95">
        <v>529502</v>
      </c>
      <c r="E58" s="250" t="str">
        <f>VLOOKUP("Abdeckkappe für Rohrschellendorn",Sprachindex!A:Z,Info!$O$6,FALSE)</f>
        <v>Abdeckkappe für Rohrschellendorn</v>
      </c>
      <c r="F58" s="251"/>
      <c r="G58" s="251"/>
      <c r="H58" s="251"/>
      <c r="I58" s="251"/>
      <c r="J58" s="307"/>
      <c r="K58" s="308"/>
      <c r="L58" s="96" t="str">
        <f t="shared" si="0"/>
        <v xml:space="preserve"> </v>
      </c>
      <c r="M58" s="130"/>
      <c r="N58" s="87"/>
      <c r="O58" s="1"/>
      <c r="P58" s="208" t="str">
        <f>ROUNDUP($A58/R58,0)*R58 &amp; "  " &amp; Formeln!$A$111</f>
        <v>0  STK</v>
      </c>
      <c r="Q58" s="208" t="str">
        <f>ROUNDUP($A58/S58,0)*S58 &amp; "  " &amp; Formeln!$A$111</f>
        <v>0  STK</v>
      </c>
      <c r="R58" s="208">
        <v>25</v>
      </c>
      <c r="S58" s="208">
        <v>1</v>
      </c>
    </row>
    <row r="59" spans="1:138" ht="32.1" customHeight="1">
      <c r="A59" s="131"/>
      <c r="B59" s="96" t="str">
        <f>VLOOKUP("STK",Sprachindex!A:Z,Info!$O$6,FALSE)</f>
        <v>STK</v>
      </c>
      <c r="C59" s="95"/>
      <c r="D59" s="95">
        <f>AF59</f>
        <v>0</v>
      </c>
      <c r="E59" s="250" t="str">
        <f>VLOOKUP("Hydrolack",Sprachindex!A:Z,Info!$O$6,FALSE)</f>
        <v>Hydrolack</v>
      </c>
      <c r="F59" s="251"/>
      <c r="G59" s="251"/>
      <c r="H59" s="251"/>
      <c r="I59" s="251"/>
      <c r="J59" s="301" t="s">
        <v>2081</v>
      </c>
      <c r="K59" s="302"/>
      <c r="L59" s="96" t="str">
        <f>IF(OR(A59="",R59="",S59="",H59="")," ",IF($N$11=1,P59,IF($N$11=2,Q59,0)))</f>
        <v xml:space="preserve"> </v>
      </c>
      <c r="M59" s="130"/>
      <c r="N59" s="87"/>
      <c r="O59" s="1"/>
      <c r="P59" s="191" t="str">
        <f>ROUNDUP($A59/R59,0)*R59 &amp; "  " &amp; Formeln_RI_P.10!$A$111</f>
        <v>0  STK</v>
      </c>
      <c r="Q59" s="191" t="str">
        <f>ROUNDUP($A59/S59,0)*S59 &amp; "  " &amp; Formeln_RI_P.10!$A$111</f>
        <v>0  STK</v>
      </c>
      <c r="R59" s="191">
        <v>6</v>
      </c>
      <c r="S59" s="191">
        <v>1</v>
      </c>
      <c r="V59" s="1">
        <v>430020</v>
      </c>
      <c r="W59" s="1">
        <v>430007</v>
      </c>
      <c r="X59" s="1">
        <v>430022</v>
      </c>
      <c r="Z59" s="1">
        <v>430021</v>
      </c>
      <c r="AA59" s="1">
        <v>430115</v>
      </c>
      <c r="AB59" s="1">
        <v>430027</v>
      </c>
      <c r="AF59" s="74">
        <f t="shared" ref="AF59:AF61" si="10">IF($N$21=1,V59,IF($N$21=2,X59,IF($N$21=3,AE59,IF($N$21=4,W59,IF($N$21=5,Z59,IF($N$21=6,AA59,IF($N$21=7,U59,IF($N$21=8,AB59,IF($N$21=9,Y59,IF($N$21=10,AD59,IF($N$21=11,AC59,IF($N$21=12,T59,0))))))))))))</f>
        <v>0</v>
      </c>
      <c r="AG59" s="74"/>
      <c r="DC59" s="64"/>
      <c r="DD59" s="64" t="s">
        <v>2085</v>
      </c>
      <c r="DE59" s="64" t="s">
        <v>2082</v>
      </c>
      <c r="DF59" s="64" t="s">
        <v>2089</v>
      </c>
      <c r="DG59" s="64" t="s">
        <v>2083</v>
      </c>
      <c r="DH59" s="64" t="s">
        <v>2086</v>
      </c>
      <c r="DI59" s="64" t="s">
        <v>2090</v>
      </c>
      <c r="DJ59" s="64" t="s">
        <v>2091</v>
      </c>
      <c r="DK59" s="64" t="s">
        <v>2092</v>
      </c>
      <c r="DL59" s="64"/>
      <c r="DM59" s="64" t="s">
        <v>2087</v>
      </c>
      <c r="DN59" s="64" t="s">
        <v>2084</v>
      </c>
      <c r="DO59" s="64" t="s">
        <v>2088</v>
      </c>
      <c r="DP59" s="74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74">
        <v>0.75</v>
      </c>
      <c r="DR59" s="74">
        <v>750</v>
      </c>
      <c r="DS59" s="64"/>
      <c r="DT59" s="71">
        <v>430152</v>
      </c>
      <c r="DU59" s="71">
        <v>430151</v>
      </c>
      <c r="DV59" s="71"/>
      <c r="DW59" s="71">
        <v>430150</v>
      </c>
      <c r="DX59" s="71"/>
      <c r="DY59" s="71">
        <v>430141</v>
      </c>
      <c r="DZ59" s="71"/>
      <c r="EA59" s="71"/>
      <c r="EB59" s="71"/>
      <c r="EC59" s="71">
        <v>430154</v>
      </c>
      <c r="ED59" s="71">
        <v>430144</v>
      </c>
      <c r="EE59" s="71">
        <v>430155</v>
      </c>
      <c r="EF59" s="74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74">
        <v>50</v>
      </c>
      <c r="EH59" s="74">
        <v>50</v>
      </c>
    </row>
    <row r="60" spans="1:138" ht="32.1" customHeight="1">
      <c r="A60" s="131"/>
      <c r="B60" s="96" t="str">
        <f>VLOOKUP("STK",Sprachindex!A:Z,Info!$O$6,FALSE)</f>
        <v>STK</v>
      </c>
      <c r="C60" s="95"/>
      <c r="D60" s="95">
        <f>AF60</f>
        <v>0</v>
      </c>
      <c r="E60" s="250" t="str">
        <f>VLOOKUP("Ausbesserungslack",Sprachindex!A:Z,Info!$O$6,FALSE)</f>
        <v>Ausbesserungslack</v>
      </c>
      <c r="F60" s="251"/>
      <c r="G60" s="251"/>
      <c r="H60" s="251"/>
      <c r="I60" s="251"/>
      <c r="J60" s="307" t="str">
        <f>VLOOKUP("12 ml",Sprachindex!A:Z,Info!$O$6,FALSE)</f>
        <v>12 ml</v>
      </c>
      <c r="K60" s="308"/>
      <c r="L60" s="96" t="str">
        <f t="shared" ref="L60:L66" si="11">IF(OR(A60="",R60="",S60="")," ",IF($N$11=1,$P60,IF($N$11=2,Q60,0)))</f>
        <v xml:space="preserve"> </v>
      </c>
      <c r="M60" s="130"/>
      <c r="N60" s="87"/>
      <c r="O60" s="1"/>
      <c r="P60" s="8"/>
      <c r="Q60" s="8"/>
      <c r="R60" s="8"/>
      <c r="S60" s="8"/>
      <c r="V60" s="1">
        <v>430151</v>
      </c>
      <c r="X60" s="1">
        <v>430150</v>
      </c>
      <c r="Z60" s="1">
        <v>430157</v>
      </c>
      <c r="AA60" s="1">
        <v>430156</v>
      </c>
      <c r="AF60" s="74">
        <f t="shared" si="10"/>
        <v>0</v>
      </c>
      <c r="AG60" s="74"/>
    </row>
    <row r="61" spans="1:138" ht="32.1" customHeight="1">
      <c r="A61" s="131"/>
      <c r="B61" s="96" t="str">
        <f>VLOOKUP("STK",Sprachindex!A:Z,Info!$O$6,FALSE)</f>
        <v>STK</v>
      </c>
      <c r="C61" s="95"/>
      <c r="D61" s="95">
        <f>AF61</f>
        <v>0</v>
      </c>
      <c r="E61" s="250" t="str">
        <f>VLOOKUP("Ausbesserungsstift",Sprachindex!A:Z,Info!$O$6,FALSE)</f>
        <v>Ausbesserungsstift</v>
      </c>
      <c r="F61" s="251"/>
      <c r="G61" s="251"/>
      <c r="H61" s="251"/>
      <c r="I61" s="251"/>
      <c r="J61" s="307" t="str">
        <f>VLOOKUP("11 ml",Sprachindex!A:Z,Info!$O$6,FALSE)</f>
        <v>11 ml</v>
      </c>
      <c r="K61" s="308"/>
      <c r="L61" s="96" t="str">
        <f t="shared" si="11"/>
        <v xml:space="preserve"> </v>
      </c>
      <c r="M61" s="130"/>
      <c r="N61" s="87"/>
      <c r="O61" s="1"/>
      <c r="P61" s="8"/>
      <c r="Q61" s="8"/>
      <c r="R61" s="8"/>
      <c r="S61" s="8"/>
      <c r="V61" s="1">
        <v>430201</v>
      </c>
      <c r="X61" s="1">
        <v>430200</v>
      </c>
      <c r="Z61" s="1">
        <v>430207</v>
      </c>
      <c r="AC61" s="1">
        <v>430211</v>
      </c>
      <c r="AF61" s="74">
        <f t="shared" si="10"/>
        <v>0</v>
      </c>
      <c r="AG61" s="74"/>
    </row>
    <row r="62" spans="1:138" ht="32.1" customHeight="1">
      <c r="A62" s="131"/>
      <c r="B62" s="96" t="str">
        <f>VLOOKUP("STK",Sprachindex!A:Z,Info!$O$6,FALSE)</f>
        <v>STK</v>
      </c>
      <c r="C62" s="95"/>
      <c r="D62" s="95">
        <v>425002</v>
      </c>
      <c r="E62" s="250" t="str">
        <f>VLOOKUP("Aluminium-Lötstäbe",Sprachindex!A:Z,Info!$O$6,FALSE)</f>
        <v>Aluminium-Lötstäbe</v>
      </c>
      <c r="F62" s="251"/>
      <c r="G62" s="251"/>
      <c r="H62" s="251"/>
      <c r="I62" s="251"/>
      <c r="J62" s="307" t="str">
        <f>VLOOKUP("250 g",Sprachindex!A:Z,Info!$O$6,FALSE)</f>
        <v>250 g</v>
      </c>
      <c r="K62" s="308"/>
      <c r="L62" s="96" t="str">
        <f t="shared" si="11"/>
        <v xml:space="preserve"> </v>
      </c>
      <c r="M62" s="130"/>
      <c r="N62" s="87"/>
      <c r="O62" s="1"/>
      <c r="P62" s="8"/>
      <c r="Q62" s="8"/>
      <c r="R62" s="8"/>
      <c r="S62" s="8"/>
    </row>
    <row r="63" spans="1:138" ht="32.1" customHeight="1">
      <c r="A63" s="118"/>
      <c r="B63" s="96" t="str">
        <f>VLOOKUP("STK",Sprachindex!A:Z,Info!$O$6,FALSE)</f>
        <v>STK</v>
      </c>
      <c r="C63" s="95"/>
      <c r="D63" s="95">
        <v>420006</v>
      </c>
      <c r="E63" s="250" t="str">
        <f>VLOOKUP("Spezialsilikon",Sprachindex!A:Z,Info!$O$6,FALSE)</f>
        <v>Spezialsilikon</v>
      </c>
      <c r="F63" s="251"/>
      <c r="G63" s="251"/>
      <c r="H63" s="251"/>
      <c r="I63" s="251"/>
      <c r="J63" s="307" t="str">
        <f>VLOOKUP("300 ml",Sprachindex!A:Z,Info!$O$6,FALSE)</f>
        <v>300 ml</v>
      </c>
      <c r="K63" s="308"/>
      <c r="L63" s="96" t="str">
        <f t="shared" si="11"/>
        <v xml:space="preserve"> </v>
      </c>
      <c r="M63" s="130"/>
      <c r="N63" s="87"/>
      <c r="O63" s="1"/>
      <c r="P63" s="8"/>
      <c r="Q63" s="8"/>
      <c r="R63" s="8"/>
      <c r="S63" s="8"/>
    </row>
    <row r="64" spans="1:138" ht="32.1" customHeight="1">
      <c r="A64" s="126"/>
      <c r="B64" s="96" t="str">
        <f>VLOOKUP("Stk",Sprachindex!A:Z,Info!$O$6,FALSE)</f>
        <v>STK</v>
      </c>
      <c r="C64" s="95"/>
      <c r="D64" s="95">
        <v>420501</v>
      </c>
      <c r="E64" s="250" t="str">
        <f>VLOOKUP("Spezialkleber",Sprachindex!A:Z,Info!$O$6,FALSE)</f>
        <v>Spezialkleber</v>
      </c>
      <c r="F64" s="251"/>
      <c r="G64" s="251"/>
      <c r="H64" s="251"/>
      <c r="I64" s="251"/>
      <c r="J64" s="307"/>
      <c r="K64" s="308"/>
      <c r="L64" s="96" t="str">
        <f t="shared" ref="L64:L65" si="12">IF(A64=0,"",IF($N$11=1,P64,Q64))</f>
        <v/>
      </c>
      <c r="M64" s="102"/>
      <c r="N64" s="87"/>
      <c r="O64" s="1"/>
      <c r="P64" s="8"/>
      <c r="Q64" s="8"/>
      <c r="R64" s="8"/>
      <c r="S64" s="8"/>
    </row>
    <row r="65" spans="1:21" ht="32.1" customHeight="1">
      <c r="A65" s="118"/>
      <c r="B65" s="96" t="str">
        <f>VLOOKUP("Set",Sprachindex!A:Z,Info!$O$6,FALSE)</f>
        <v>Set</v>
      </c>
      <c r="C65" s="98"/>
      <c r="D65" s="95">
        <v>420500</v>
      </c>
      <c r="E65" s="250" t="str">
        <f>VLOOKUP("Spezialkleber-Set",Sprachindex!A:Z,Info!$O$6,FALSE)</f>
        <v>Spezialkleber-Set</v>
      </c>
      <c r="F65" s="251"/>
      <c r="G65" s="251"/>
      <c r="H65" s="251"/>
      <c r="I65" s="251"/>
      <c r="J65" s="307"/>
      <c r="K65" s="308"/>
      <c r="L65" s="96" t="str">
        <f t="shared" si="12"/>
        <v/>
      </c>
      <c r="M65" s="102"/>
      <c r="N65" s="87"/>
      <c r="O65" s="1"/>
      <c r="P65" s="8"/>
      <c r="Q65" s="8"/>
      <c r="R65" s="8"/>
      <c r="S65" s="8"/>
    </row>
    <row r="66" spans="1:21" ht="32.1" customHeight="1">
      <c r="A66" s="118"/>
      <c r="B66" s="96" t="str">
        <f>VLOOKUP("STK",Sprachindex!A:Z,Info!$O$6,FALSE)</f>
        <v>STK</v>
      </c>
      <c r="C66" s="95"/>
      <c r="D66" s="95">
        <v>420028</v>
      </c>
      <c r="E66" s="250" t="str">
        <f>VLOOKUP("Rinnenwulstöffner",Sprachindex!A:Z,Info!$O$6,FALSE)</f>
        <v>Rinnenwulstöffner</v>
      </c>
      <c r="F66" s="251"/>
      <c r="G66" s="251"/>
      <c r="H66" s="251"/>
      <c r="I66" s="251"/>
      <c r="J66" s="307"/>
      <c r="K66" s="308"/>
      <c r="L66" s="96" t="str">
        <f t="shared" si="11"/>
        <v xml:space="preserve"> </v>
      </c>
      <c r="M66" s="102"/>
      <c r="N66" s="87"/>
      <c r="O66" s="1"/>
      <c r="P66" s="8"/>
      <c r="Q66" s="8"/>
      <c r="R66" s="8"/>
      <c r="S66" s="8"/>
    </row>
    <row r="67" spans="1:21" ht="32.1" customHeight="1">
      <c r="A67" s="202"/>
      <c r="B67" s="196"/>
      <c r="C67" s="196"/>
      <c r="D67" s="196"/>
      <c r="E67" s="268"/>
      <c r="F67" s="269"/>
      <c r="G67" s="269"/>
      <c r="H67" s="269"/>
      <c r="I67" s="269"/>
      <c r="J67" s="269"/>
      <c r="K67" s="270"/>
      <c r="L67" s="196"/>
      <c r="M67" s="197"/>
      <c r="N67" s="87"/>
      <c r="O67" s="1"/>
      <c r="P67" s="8"/>
      <c r="Q67" s="8"/>
      <c r="U67"/>
    </row>
    <row r="68" spans="1:21" ht="32.1" customHeight="1">
      <c r="A68" s="202"/>
      <c r="B68" s="196"/>
      <c r="C68" s="196"/>
      <c r="D68" s="196"/>
      <c r="E68" s="268"/>
      <c r="F68" s="269"/>
      <c r="G68" s="269"/>
      <c r="H68" s="269"/>
      <c r="I68" s="269"/>
      <c r="J68" s="269"/>
      <c r="K68" s="270"/>
      <c r="L68" s="196"/>
      <c r="M68" s="197"/>
      <c r="N68" s="87"/>
      <c r="O68" s="1"/>
      <c r="P68" s="8"/>
      <c r="Q68" s="8"/>
    </row>
    <row r="69" spans="1:21" ht="32.1" customHeight="1" thickBot="1">
      <c r="A69" s="198"/>
      <c r="B69" s="199"/>
      <c r="C69" s="199"/>
      <c r="D69" s="199"/>
      <c r="E69" s="271"/>
      <c r="F69" s="272"/>
      <c r="G69" s="272"/>
      <c r="H69" s="272"/>
      <c r="I69" s="272"/>
      <c r="J69" s="272"/>
      <c r="K69" s="273"/>
      <c r="L69" s="196"/>
      <c r="M69" s="200"/>
      <c r="N69" s="87"/>
      <c r="O69" s="1"/>
      <c r="P69" s="8"/>
      <c r="Q69" s="8"/>
    </row>
    <row r="70" spans="1:21" ht="15" customHeight="1">
      <c r="A70" s="86"/>
      <c r="B70" s="86"/>
      <c r="C70" s="8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87"/>
    </row>
    <row r="71" spans="1:21" ht="17.399999999999999">
      <c r="A71" s="86"/>
      <c r="B71" s="86"/>
      <c r="C71" s="108" t="str">
        <f>VLOOKUP("Zusatzvermerk:",Sprachindex!A:Z,Info!$O$6,FALSE)</f>
        <v>Zusatzvermerk:</v>
      </c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87"/>
    </row>
    <row r="72" spans="1:21" ht="17.399999999999999">
      <c r="A72" s="86"/>
      <c r="B72" s="86"/>
      <c r="C72" s="86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87"/>
    </row>
    <row r="73" spans="1:21" ht="17.399999999999999">
      <c r="A73" s="86"/>
      <c r="B73" s="86"/>
      <c r="C73" s="86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87"/>
    </row>
    <row r="74" spans="1:21" ht="17.399999999999999">
      <c r="A74" s="86"/>
      <c r="B74" s="86"/>
      <c r="C74" s="86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87"/>
    </row>
    <row r="75" spans="1:21" ht="17.399999999999999">
      <c r="A75" s="86"/>
      <c r="B75" s="86"/>
      <c r="C75" s="86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87"/>
    </row>
    <row r="76" spans="1:21" ht="17.399999999999999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7"/>
    </row>
    <row r="77" spans="1:21" ht="17.399999999999999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7"/>
    </row>
    <row r="78" spans="1:21" ht="17.399999999999999">
      <c r="A78" s="109" t="str">
        <f>VLOOKUP("Anwendungstechnik",Sprachindex!A:Z,Info!$O$6,FALSE)</f>
        <v>Anwendungstechnik</v>
      </c>
      <c r="B78" s="110"/>
      <c r="C78" s="110"/>
      <c r="D78" s="264"/>
      <c r="E78" s="264"/>
      <c r="F78" s="264"/>
      <c r="G78" s="264"/>
      <c r="H78" s="264"/>
      <c r="I78" s="264"/>
      <c r="J78" s="264"/>
      <c r="K78" s="111" t="str">
        <f>VLOOKUP("Stand:",Sprachindex!A:Z,Info!$O$6,FALSE)</f>
        <v>Stand:</v>
      </c>
      <c r="L78" s="277">
        <v>44546</v>
      </c>
      <c r="M78" s="278"/>
      <c r="N78" s="87"/>
    </row>
    <row r="79" spans="1:21" ht="13.8"/>
    <row r="80" spans="1:21" ht="13.8" hidden="1"/>
    <row r="81" ht="13.8" hidden="1"/>
    <row r="82" ht="13.8" hidden="1"/>
    <row r="83" ht="13.8" hidden="1"/>
    <row r="84" ht="13.8" hidden="1"/>
    <row r="85" ht="13.8" hidden="1"/>
    <row r="86" ht="13.8" hidden="1"/>
    <row r="87" ht="13.8" hidden="1"/>
    <row r="88" ht="13.8" hidden="1"/>
    <row r="89" ht="13.8" hidden="1"/>
    <row r="90" ht="13.8" hidden="1"/>
    <row r="91" ht="13.8" hidden="1"/>
    <row r="92" ht="13.8" hidden="1"/>
    <row r="93" ht="13.8" hidden="1"/>
    <row r="94" ht="13.8" hidden="1"/>
    <row r="95" ht="13.8" hidden="1"/>
    <row r="96" ht="13.8" hidden="1"/>
    <row r="97" ht="13.8" hidden="1"/>
    <row r="98" ht="13.8" hidden="1"/>
    <row r="99" ht="13.8" hidden="1"/>
    <row r="100" ht="13.8" hidden="1"/>
    <row r="101" ht="13.8" hidden="1"/>
    <row r="102" ht="13.8" hidden="1"/>
    <row r="103" ht="13.8" hidden="1"/>
    <row r="104" ht="13.8" hidden="1"/>
    <row r="105" ht="13.8" hidden="1"/>
    <row r="106" ht="13.8" hidden="1"/>
    <row r="107" ht="13.8" hidden="1"/>
    <row r="108" ht="13.8" hidden="1"/>
    <row r="109" ht="13.8" hidden="1"/>
    <row r="110" ht="13.8" hidden="1"/>
    <row r="111" ht="13.8" hidden="1"/>
    <row r="112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3.8" hidden="1"/>
    <row r="123" ht="13.8" hidden="1"/>
    <row r="124" ht="13.8" hidden="1"/>
    <row r="125" ht="13.8" hidden="1"/>
    <row r="126" ht="13.8" hidden="1"/>
    <row r="127" ht="13.8" hidden="1"/>
    <row r="128" ht="13.8" hidden="1"/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</sheetData>
  <sheetProtection password="8D71" sheet="1" objects="1" scenarios="1" selectLockedCells="1" autoFilter="0"/>
  <protectedRanges>
    <protectedRange password="DEBF" sqref="P67:Q69" name="darf vom Benutzer nicht verändert werden_1_5"/>
    <protectedRange password="DEBF" sqref="P52:Q58 P60:Q66" name="darf vom Benutzer nicht verändert werden_1_2_2_1"/>
    <protectedRange password="DEBF" sqref="P31:Q42 P44:Q50" name="darf vom Benutzer nicht verändert werden_1_2"/>
    <protectedRange password="DEBF" sqref="S42 R45:S45 S32 R31:S31 R44 R32:R42" name="darf vom Benutzer nicht verändert werden_1_12"/>
    <protectedRange password="DEBF" sqref="P43:Q43" name="darf vom Benutzer nicht verändert werden_1_2_2_2"/>
    <protectedRange password="DEBF" sqref="R43" name="darf vom Benutzer nicht verändert werden_1_12_1_1"/>
    <protectedRange password="DEBF" sqref="P51:Q51" name="darf vom Benutzer nicht verändert werden_1_2_1_1"/>
    <protectedRange password="DEBF" sqref="P59:Q59" name="darf vom Benutzer nicht verändert werden_1_2_1"/>
  </protectedRanges>
  <autoFilter ref="A29:A69" xr:uid="{00000000-0009-0000-0000-00000B000000}"/>
  <mergeCells count="92">
    <mergeCell ref="E63:I63"/>
    <mergeCell ref="J63:K63"/>
    <mergeCell ref="E60:I60"/>
    <mergeCell ref="J60:K60"/>
    <mergeCell ref="E61:I61"/>
    <mergeCell ref="J61:K61"/>
    <mergeCell ref="E62:I62"/>
    <mergeCell ref="J62:K62"/>
    <mergeCell ref="E59:I59"/>
    <mergeCell ref="J59:K59"/>
    <mergeCell ref="D78:J78"/>
    <mergeCell ref="E67:K67"/>
    <mergeCell ref="E68:K68"/>
    <mergeCell ref="E69:K69"/>
    <mergeCell ref="D74:M75"/>
    <mergeCell ref="D72:M73"/>
    <mergeCell ref="D70:M71"/>
    <mergeCell ref="L78:M78"/>
    <mergeCell ref="E66:I66"/>
    <mergeCell ref="J66:K66"/>
    <mergeCell ref="E65:I65"/>
    <mergeCell ref="E64:I64"/>
    <mergeCell ref="J64:K64"/>
    <mergeCell ref="J65:K65"/>
    <mergeCell ref="E38:K38"/>
    <mergeCell ref="E40:K40"/>
    <mergeCell ref="B24:B27"/>
    <mergeCell ref="C24:E24"/>
    <mergeCell ref="I24:K24"/>
    <mergeCell ref="E37:K37"/>
    <mergeCell ref="E35:K35"/>
    <mergeCell ref="E33:K33"/>
    <mergeCell ref="E34:K34"/>
    <mergeCell ref="E36:K36"/>
    <mergeCell ref="C21:E21"/>
    <mergeCell ref="B29:E29"/>
    <mergeCell ref="E30:K30"/>
    <mergeCell ref="E32:G32"/>
    <mergeCell ref="H32:I32"/>
    <mergeCell ref="J32:K32"/>
    <mergeCell ref="E31:G31"/>
    <mergeCell ref="H31:I31"/>
    <mergeCell ref="J31:K31"/>
    <mergeCell ref="K6:M6"/>
    <mergeCell ref="K4:M4"/>
    <mergeCell ref="K5:M5"/>
    <mergeCell ref="C20:E20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E52:H52"/>
    <mergeCell ref="J52:K52"/>
    <mergeCell ref="E53:H53"/>
    <mergeCell ref="J53:K53"/>
    <mergeCell ref="E54:H54"/>
    <mergeCell ref="J54:K54"/>
    <mergeCell ref="E58:I58"/>
    <mergeCell ref="J58:K58"/>
    <mergeCell ref="E55:I55"/>
    <mergeCell ref="J55:K55"/>
    <mergeCell ref="E56:H56"/>
    <mergeCell ref="J56:K56"/>
    <mergeCell ref="E57:I57"/>
    <mergeCell ref="J57:K57"/>
    <mergeCell ref="P29:Q29"/>
    <mergeCell ref="R29:S29"/>
    <mergeCell ref="C25:E25"/>
    <mergeCell ref="I25:K25"/>
    <mergeCell ref="C26:E26"/>
    <mergeCell ref="I26:K26"/>
    <mergeCell ref="C27:E27"/>
    <mergeCell ref="E50:K50"/>
    <mergeCell ref="E51:I51"/>
    <mergeCell ref="J51:K51"/>
    <mergeCell ref="E39:K39"/>
    <mergeCell ref="E44:K44"/>
    <mergeCell ref="E46:K46"/>
    <mergeCell ref="E41:K41"/>
    <mergeCell ref="E48:K48"/>
    <mergeCell ref="E42:G42"/>
    <mergeCell ref="I42:K42"/>
    <mergeCell ref="E43:K43"/>
    <mergeCell ref="E45:G45"/>
    <mergeCell ref="I45:K45"/>
    <mergeCell ref="E47:K47"/>
    <mergeCell ref="E49:K49"/>
  </mergeCells>
  <conditionalFormatting sqref="K18">
    <cfRule type="expression" dxfId="190" priority="129">
      <formula>$N$21=13</formula>
    </cfRule>
  </conditionalFormatting>
  <conditionalFormatting sqref="K17">
    <cfRule type="expression" dxfId="189" priority="130">
      <formula>$N$21=13</formula>
    </cfRule>
  </conditionalFormatting>
  <conditionalFormatting sqref="L19">
    <cfRule type="expression" dxfId="188" priority="128">
      <formula>$N$21=14</formula>
    </cfRule>
  </conditionalFormatting>
  <conditionalFormatting sqref="C9:E9">
    <cfRule type="cellIs" dxfId="187" priority="121" operator="equal">
      <formula>""</formula>
    </cfRule>
  </conditionalFormatting>
  <conditionalFormatting sqref="C10:E10">
    <cfRule type="cellIs" dxfId="186" priority="120" operator="equal">
      <formula>""</formula>
    </cfRule>
  </conditionalFormatting>
  <conditionalFormatting sqref="C11:E11">
    <cfRule type="cellIs" dxfId="185" priority="119" operator="equal">
      <formula>""</formula>
    </cfRule>
  </conditionalFormatting>
  <conditionalFormatting sqref="C13:E13">
    <cfRule type="cellIs" dxfId="184" priority="118" operator="equal">
      <formula>""</formula>
    </cfRule>
  </conditionalFormatting>
  <conditionalFormatting sqref="C14:E14">
    <cfRule type="cellIs" dxfId="183" priority="117" operator="equal">
      <formula>""</formula>
    </cfRule>
  </conditionalFormatting>
  <conditionalFormatting sqref="C15:E15">
    <cfRule type="cellIs" dxfId="182" priority="116" operator="equal">
      <formula>""</formula>
    </cfRule>
  </conditionalFormatting>
  <conditionalFormatting sqref="C18:E18">
    <cfRule type="cellIs" dxfId="181" priority="115" operator="equal">
      <formula>""</formula>
    </cfRule>
  </conditionalFormatting>
  <conditionalFormatting sqref="C19:E19">
    <cfRule type="cellIs" dxfId="180" priority="114" operator="equal">
      <formula>""</formula>
    </cfRule>
  </conditionalFormatting>
  <conditionalFormatting sqref="C20:E20">
    <cfRule type="cellIs" dxfId="179" priority="113" operator="equal">
      <formula>""</formula>
    </cfRule>
  </conditionalFormatting>
  <conditionalFormatting sqref="C21:E21">
    <cfRule type="cellIs" dxfId="178" priority="112" operator="equal">
      <formula>""</formula>
    </cfRule>
  </conditionalFormatting>
  <conditionalFormatting sqref="A32">
    <cfRule type="cellIs" dxfId="177" priority="108" operator="equal">
      <formula>0</formula>
    </cfRule>
  </conditionalFormatting>
  <conditionalFormatting sqref="A33">
    <cfRule type="cellIs" dxfId="176" priority="107" operator="equal">
      <formula>0</formula>
    </cfRule>
  </conditionalFormatting>
  <conditionalFormatting sqref="A34">
    <cfRule type="cellIs" dxfId="175" priority="106" operator="equal">
      <formula>0</formula>
    </cfRule>
  </conditionalFormatting>
  <conditionalFormatting sqref="A36">
    <cfRule type="cellIs" dxfId="174" priority="105" operator="equal">
      <formula>0</formula>
    </cfRule>
  </conditionalFormatting>
  <conditionalFormatting sqref="A38">
    <cfRule type="cellIs" dxfId="173" priority="104" operator="equal">
      <formula>0</formula>
    </cfRule>
  </conditionalFormatting>
  <conditionalFormatting sqref="A40">
    <cfRule type="cellIs" dxfId="172" priority="103" operator="equal">
      <formula>0</formula>
    </cfRule>
  </conditionalFormatting>
  <conditionalFormatting sqref="A42">
    <cfRule type="cellIs" dxfId="171" priority="102" operator="equal">
      <formula>0</formula>
    </cfRule>
  </conditionalFormatting>
  <conditionalFormatting sqref="A43">
    <cfRule type="cellIs" dxfId="170" priority="101" operator="equal">
      <formula>0</formula>
    </cfRule>
  </conditionalFormatting>
  <conditionalFormatting sqref="A45">
    <cfRule type="cellIs" dxfId="169" priority="100" operator="equal">
      <formula>0</formula>
    </cfRule>
  </conditionalFormatting>
  <conditionalFormatting sqref="A47">
    <cfRule type="cellIs" dxfId="168" priority="99" operator="equal">
      <formula>0</formula>
    </cfRule>
  </conditionalFormatting>
  <conditionalFormatting sqref="A49">
    <cfRule type="cellIs" dxfId="167" priority="98" operator="equal">
      <formula>0</formula>
    </cfRule>
  </conditionalFormatting>
  <conditionalFormatting sqref="A68">
    <cfRule type="cellIs" dxfId="166" priority="90" operator="equal">
      <formula>0</formula>
    </cfRule>
  </conditionalFormatting>
  <conditionalFormatting sqref="A69">
    <cfRule type="cellIs" dxfId="165" priority="89" operator="equal">
      <formula>0</formula>
    </cfRule>
  </conditionalFormatting>
  <conditionalFormatting sqref="A67">
    <cfRule type="cellIs" dxfId="164" priority="91" operator="equal">
      <formula>0</formula>
    </cfRule>
  </conditionalFormatting>
  <conditionalFormatting sqref="B67">
    <cfRule type="cellIs" dxfId="163" priority="69" operator="equal">
      <formula>0</formula>
    </cfRule>
  </conditionalFormatting>
  <conditionalFormatting sqref="B68">
    <cfRule type="cellIs" dxfId="162" priority="68" operator="equal">
      <formula>0</formula>
    </cfRule>
  </conditionalFormatting>
  <conditionalFormatting sqref="B69">
    <cfRule type="cellIs" dxfId="161" priority="67" operator="equal">
      <formula>0</formula>
    </cfRule>
  </conditionalFormatting>
  <conditionalFormatting sqref="C69">
    <cfRule type="cellIs" dxfId="160" priority="66" operator="equal">
      <formula>0</formula>
    </cfRule>
  </conditionalFormatting>
  <conditionalFormatting sqref="C68">
    <cfRule type="cellIs" dxfId="159" priority="65" operator="equal">
      <formula>0</formula>
    </cfRule>
  </conditionalFormatting>
  <conditionalFormatting sqref="C67">
    <cfRule type="cellIs" dxfId="158" priority="64" operator="equal">
      <formula>0</formula>
    </cfRule>
  </conditionalFormatting>
  <conditionalFormatting sqref="M67">
    <cfRule type="cellIs" dxfId="157" priority="63" operator="equal">
      <formula>0</formula>
    </cfRule>
  </conditionalFormatting>
  <conditionalFormatting sqref="M68">
    <cfRule type="cellIs" dxfId="156" priority="62" operator="equal">
      <formula>0</formula>
    </cfRule>
  </conditionalFormatting>
  <conditionalFormatting sqref="M69">
    <cfRule type="cellIs" dxfId="155" priority="61" operator="equal">
      <formula>0</formula>
    </cfRule>
  </conditionalFormatting>
  <conditionalFormatting sqref="L67">
    <cfRule type="cellIs" dxfId="154" priority="60" operator="equal">
      <formula>0</formula>
    </cfRule>
  </conditionalFormatting>
  <conditionalFormatting sqref="L68">
    <cfRule type="cellIs" dxfId="153" priority="59" operator="equal">
      <formula>0</formula>
    </cfRule>
  </conditionalFormatting>
  <conditionalFormatting sqref="L69">
    <cfRule type="cellIs" dxfId="152" priority="58" operator="equal">
      <formula>0</formula>
    </cfRule>
  </conditionalFormatting>
  <conditionalFormatting sqref="E67">
    <cfRule type="cellIs" dxfId="151" priority="57" operator="equal">
      <formula>0</formula>
    </cfRule>
  </conditionalFormatting>
  <conditionalFormatting sqref="E68">
    <cfRule type="cellIs" dxfId="150" priority="56" operator="equal">
      <formula>0</formula>
    </cfRule>
  </conditionalFormatting>
  <conditionalFormatting sqref="E69">
    <cfRule type="cellIs" dxfId="149" priority="55" operator="equal">
      <formula>0</formula>
    </cfRule>
  </conditionalFormatting>
  <conditionalFormatting sqref="D69">
    <cfRule type="cellIs" dxfId="148" priority="54" operator="equal">
      <formula>0</formula>
    </cfRule>
  </conditionalFormatting>
  <conditionalFormatting sqref="D68">
    <cfRule type="cellIs" dxfId="147" priority="53" operator="equal">
      <formula>0</formula>
    </cfRule>
  </conditionalFormatting>
  <conditionalFormatting sqref="D67">
    <cfRule type="cellIs" dxfId="146" priority="52" operator="equal">
      <formula>0</formula>
    </cfRule>
  </conditionalFormatting>
  <conditionalFormatting sqref="I13">
    <cfRule type="expression" dxfId="145" priority="48">
      <formula>$N$13=2</formula>
    </cfRule>
    <cfRule type="expression" dxfId="144" priority="51">
      <formula>$N$13=1</formula>
    </cfRule>
  </conditionalFormatting>
  <conditionalFormatting sqref="L13">
    <cfRule type="expression" dxfId="143" priority="49">
      <formula>$N$13=1</formula>
    </cfRule>
    <cfRule type="expression" dxfId="142" priority="50">
      <formula>$N$13=2</formula>
    </cfRule>
  </conditionalFormatting>
  <conditionalFormatting sqref="A52 A54:A58">
    <cfRule type="cellIs" dxfId="141" priority="47" operator="equal">
      <formula>0</formula>
    </cfRule>
  </conditionalFormatting>
  <conditionalFormatting sqref="AG57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{02B9671B-F840-4490-9A59-77D88561D14A}</x14:id>
        </ext>
      </extLst>
    </cfRule>
  </conditionalFormatting>
  <conditionalFormatting sqref="A53">
    <cfRule type="cellIs" dxfId="140" priority="43" operator="equal">
      <formula>0</formula>
    </cfRule>
  </conditionalFormatting>
  <conditionalFormatting sqref="C24:E24">
    <cfRule type="cellIs" dxfId="139" priority="40" operator="equal">
      <formula>""</formula>
    </cfRule>
  </conditionalFormatting>
  <conditionalFormatting sqref="C25:E25">
    <cfRule type="cellIs" dxfId="138" priority="39" operator="equal">
      <formula>""</formula>
    </cfRule>
  </conditionalFormatting>
  <conditionalFormatting sqref="C26:E26">
    <cfRule type="cellIs" dxfId="137" priority="38" operator="equal">
      <formula>""</formula>
    </cfRule>
  </conditionalFormatting>
  <conditionalFormatting sqref="C27:E27">
    <cfRule type="cellIs" dxfId="136" priority="37" operator="equal">
      <formula>""</formula>
    </cfRule>
  </conditionalFormatting>
  <conditionalFormatting sqref="I26:K26 I24:I25">
    <cfRule type="cellIs" dxfId="135" priority="36" operator="equal">
      <formula>""</formula>
    </cfRule>
  </conditionalFormatting>
  <conditionalFormatting sqref="K4">
    <cfRule type="cellIs" dxfId="134" priority="34" operator="equal">
      <formula>""</formula>
    </cfRule>
  </conditionalFormatting>
  <conditionalFormatting sqref="K5">
    <cfRule type="cellIs" dxfId="133" priority="33" operator="equal">
      <formula>""</formula>
    </cfRule>
  </conditionalFormatting>
  <conditionalFormatting sqref="K6">
    <cfRule type="cellIs" dxfId="132" priority="32" operator="equal">
      <formula>""</formula>
    </cfRule>
  </conditionalFormatting>
  <conditionalFormatting sqref="K7">
    <cfRule type="cellIs" dxfId="131" priority="31" operator="equal">
      <formula>""</formula>
    </cfRule>
  </conditionalFormatting>
  <conditionalFormatting sqref="A31">
    <cfRule type="cellIs" dxfId="130" priority="30" operator="equal">
      <formula>0</formula>
    </cfRule>
  </conditionalFormatting>
  <conditionalFormatting sqref="A37">
    <cfRule type="cellIs" dxfId="129" priority="28" operator="equal">
      <formula>0</formula>
    </cfRule>
  </conditionalFormatting>
  <conditionalFormatting sqref="A35">
    <cfRule type="cellIs" dxfId="128" priority="27" operator="equal">
      <formula>0</formula>
    </cfRule>
  </conditionalFormatting>
  <conditionalFormatting sqref="A39">
    <cfRule type="cellIs" dxfId="127" priority="26" operator="equal">
      <formula>0</formula>
    </cfRule>
  </conditionalFormatting>
  <conditionalFormatting sqref="A44">
    <cfRule type="cellIs" dxfId="126" priority="25" operator="equal">
      <formula>0</formula>
    </cfRule>
  </conditionalFormatting>
  <conditionalFormatting sqref="A46">
    <cfRule type="cellIs" dxfId="125" priority="24" operator="equal">
      <formula>0</formula>
    </cfRule>
  </conditionalFormatting>
  <conditionalFormatting sqref="A41">
    <cfRule type="cellIs" dxfId="124" priority="23" operator="equal">
      <formula>0</formula>
    </cfRule>
  </conditionalFormatting>
  <conditionalFormatting sqref="A48">
    <cfRule type="cellIs" dxfId="123" priority="22" operator="equal">
      <formula>0</formula>
    </cfRule>
  </conditionalFormatting>
  <conditionalFormatting sqref="A50">
    <cfRule type="cellIs" dxfId="122" priority="21" operator="equal">
      <formula>0</formula>
    </cfRule>
  </conditionalFormatting>
  <conditionalFormatting sqref="A51">
    <cfRule type="cellIs" dxfId="121" priority="20" operator="equal">
      <formula>0</formula>
    </cfRule>
  </conditionalFormatting>
  <conditionalFormatting sqref="A51">
    <cfRule type="cellIs" dxfId="120" priority="19" operator="equal">
      <formula>0</formula>
    </cfRule>
  </conditionalFormatting>
  <conditionalFormatting sqref="J59:K59">
    <cfRule type="cellIs" dxfId="119" priority="16" operator="equal">
      <formula>""</formula>
    </cfRule>
  </conditionalFormatting>
  <conditionalFormatting sqref="A59">
    <cfRule type="cellIs" dxfId="118" priority="15" operator="equal">
      <formula>0</formula>
    </cfRule>
  </conditionalFormatting>
  <conditionalFormatting sqref="A62:A63 A66">
    <cfRule type="cellIs" dxfId="117" priority="14" operator="equal">
      <formula>0</formula>
    </cfRule>
  </conditionalFormatting>
  <conditionalFormatting sqref="A62">
    <cfRule type="cellIs" dxfId="116" priority="13" operator="equal">
      <formula>0</formula>
    </cfRule>
  </conditionalFormatting>
  <conditionalFormatting sqref="A66">
    <cfRule type="cellIs" dxfId="115" priority="12" operator="equal">
      <formula>0</formula>
    </cfRule>
  </conditionalFormatting>
  <conditionalFormatting sqref="A63">
    <cfRule type="cellIs" dxfId="114" priority="11" operator="equal">
      <formula>0</formula>
    </cfRule>
  </conditionalFormatting>
  <conditionalFormatting sqref="A60">
    <cfRule type="cellIs" dxfId="113" priority="10" operator="equal">
      <formula>0</formula>
    </cfRule>
  </conditionalFormatting>
  <conditionalFormatting sqref="A60">
    <cfRule type="cellIs" dxfId="112" priority="9" operator="equal">
      <formula>0</formula>
    </cfRule>
  </conditionalFormatting>
  <conditionalFormatting sqref="A61">
    <cfRule type="cellIs" dxfId="111" priority="7" operator="equal">
      <formula>0</formula>
    </cfRule>
  </conditionalFormatting>
  <conditionalFormatting sqref="A61">
    <cfRule type="cellIs" dxfId="110" priority="6" operator="equal">
      <formula>0</formula>
    </cfRule>
  </conditionalFormatting>
  <conditionalFormatting sqref="A64">
    <cfRule type="cellIs" dxfId="109" priority="4" operator="equal">
      <formula>""</formula>
    </cfRule>
  </conditionalFormatting>
  <conditionalFormatting sqref="A65">
    <cfRule type="cellIs" dxfId="108" priority="3" operator="equal">
      <formula>""</formula>
    </cfRule>
  </conditionalFormatting>
  <conditionalFormatting sqref="AG59:AG6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{C39D9F92-FEB8-41C2-8A3D-7E07D4A9A30B}</x14:id>
        </ext>
      </extLst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419100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7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419100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8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9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10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7" r:id="rId11" name="Option Button 19">
              <controlPr defaultSize="0" autoFill="0" autoLine="0" autoPict="0" altText="">
                <anchor moveWithCells="1">
                  <from>
                    <xdr:col>12</xdr:col>
                    <xdr:colOff>297180</xdr:colOff>
                    <xdr:row>17</xdr:row>
                    <xdr:rowOff>0</xdr:rowOff>
                  </from>
                  <to>
                    <xdr:col>12</xdr:col>
                    <xdr:colOff>342900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8" r:id="rId12" name="Option Button 20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17</xdr:row>
                    <xdr:rowOff>152400</xdr:rowOff>
                  </from>
                  <to>
                    <xdr:col>12</xdr:col>
                    <xdr:colOff>335280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9" r:id="rId13" name="Option Button 21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18</xdr:row>
                    <xdr:rowOff>152400</xdr:rowOff>
                  </from>
                  <to>
                    <xdr:col>12</xdr:col>
                    <xdr:colOff>335280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0" r:id="rId14" name="Option Button 22">
              <controlPr defaultSize="0" autoFill="0" autoLine="0" autoPict="0" altText="">
                <anchor moveWithCells="1">
                  <from>
                    <xdr:col>12</xdr:col>
                    <xdr:colOff>289560</xdr:colOff>
                    <xdr:row>19</xdr:row>
                    <xdr:rowOff>152400</xdr:rowOff>
                  </from>
                  <to>
                    <xdr:col>12</xdr:col>
                    <xdr:colOff>335280</xdr:colOff>
                    <xdr:row>20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1" r:id="rId15" name="Option Button 2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160020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2" r:id="rId16" name="Option Button 24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14</xdr:row>
                    <xdr:rowOff>45720</xdr:rowOff>
                  </from>
                  <to>
                    <xdr:col>12</xdr:col>
                    <xdr:colOff>350520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3" r:id="rId17" name="Option Button 25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15</xdr:row>
                    <xdr:rowOff>45720</xdr:rowOff>
                  </from>
                  <to>
                    <xdr:col>12</xdr:col>
                    <xdr:colOff>350520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4" r:id="rId18" name="Option Button 26">
              <controlPr defaultSize="0" autoFill="0" autoLine="0" autoPict="0" altText="">
                <anchor moveWithCells="1">
                  <from>
                    <xdr:col>12</xdr:col>
                    <xdr:colOff>304800</xdr:colOff>
                    <xdr:row>16</xdr:row>
                    <xdr:rowOff>45720</xdr:rowOff>
                  </from>
                  <to>
                    <xdr:col>12</xdr:col>
                    <xdr:colOff>350520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5" r:id="rId19" name="Option Button 2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160020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6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160020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21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9</xdr:col>
                    <xdr:colOff>144780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22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7" r:id="rId23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8" r:id="rId24" name="Option Button 4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9" r:id="rId25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B9671B-F840-4490-9A59-77D88561D1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AG57</xm:sqref>
        </x14:conditionalFormatting>
        <x14:conditionalFormatting xmlns:xm="http://schemas.microsoft.com/office/excel/2006/main">
          <x14:cfRule type="dataBar" id="{C39D9F92-FEB8-41C2-8A3D-7E07D4A9A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AG59:AG61</xm:sqref>
        </x14:conditionalFormatting>
        <x14:conditionalFormatting xmlns:xm="http://schemas.microsoft.com/office/excel/2006/main">
          <x14:cfRule type="expression" priority="75" id="{5C50FB8B-B0EC-4E2C-9FD4-DD253E10C97B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4" id="{689827F2-6E28-4BAE-AB35-8CF9935C663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73" id="{2148FE14-D713-4C73-A8C4-1F5EC43C6651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6" id="{D8B5F31F-D858-4E92-91C9-B4D18900587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5" id="{C10B80EB-5152-40B1-9FC3-E1CE519F9E09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2" id="{F5B4888C-14A7-4D53-AD5B-ED0A241835C5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1" id="{BE7C8EEB-D391-4008-8160-7B78DF0C69B5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18" id="{2A66CDF8-3248-4B58-A03C-39801C1E670F}">
            <xm:f>$J$109=Formeln!$A$1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J51:K51</xm:sqref>
        </x14:conditionalFormatting>
        <x14:conditionalFormatting xmlns:xm="http://schemas.microsoft.com/office/excel/2006/main">
          <x14:cfRule type="expression" priority="17" id="{54AF847B-5412-41EB-8DC4-FB78862D8D10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8" id="{6D0B4AAC-20A3-4390-9358-D7B98C291360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5" id="{E91578FD-A611-4322-A79B-4535FF1032F6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  <x14:conditionalFormatting xmlns:xm="http://schemas.microsoft.com/office/excel/2006/main">
          <x14:cfRule type="expression" priority="1" id="{8F3887D7-8DC5-49A6-AFE3-6E40DF0190C0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B00-000000000000}">
          <x14:formula1>
            <xm:f>Formeln!$A$146:$A$148</xm:f>
          </x14:formula1>
          <xm:sqref>I45:K45</xm:sqref>
        </x14:dataValidation>
        <x14:dataValidation type="list" allowBlank="1" showInputMessage="1" showErrorMessage="1" xr:uid="{00000000-0002-0000-0B00-000001000000}">
          <x14:formula1>
            <xm:f>Formeln!$A$143:$A$145</xm:f>
          </x14:formula1>
          <xm:sqref>I42:K42</xm:sqref>
        </x14:dataValidation>
        <x14:dataValidation type="list" allowBlank="1" showInputMessage="1" showErrorMessage="1" xr:uid="{00000000-0002-0000-0B00-000002000000}">
          <x14:formula1>
            <xm:f>Formeln!$B$139:$B$142</xm:f>
          </x14:formula1>
          <xm:sqref>J31:K32</xm:sqref>
        </x14:dataValidation>
        <x14:dataValidation type="list" allowBlank="1" showInputMessage="1" showErrorMessage="1" xr:uid="{00000000-0002-0000-0B00-000003000000}">
          <x14:formula1>
            <xm:f>Formeln!$A$277:$A$280</xm:f>
          </x14:formula1>
          <xm:sqref>J54:K54</xm:sqref>
        </x14:dataValidation>
        <x14:dataValidation type="list" allowBlank="1" showInputMessage="1" showErrorMessage="1" xr:uid="{00000000-0002-0000-0B00-000004000000}">
          <x14:formula1>
            <xm:f>Formeln!$A$156:$A$158</xm:f>
          </x14:formula1>
          <xm:sqref>J56:K56</xm:sqref>
        </x14:dataValidation>
        <x14:dataValidation type="list" allowBlank="1" showInputMessage="1" showErrorMessage="1" xr:uid="{00000000-0002-0000-0B00-000005000000}">
          <x14:formula1>
            <xm:f>Formeln!$A$149:$A$152</xm:f>
          </x14:formula1>
          <xm:sqref>J52:K53</xm:sqref>
        </x14:dataValidation>
        <x14:dataValidation type="list" allowBlank="1" showInputMessage="1" showErrorMessage="1" xr:uid="{00000000-0002-0000-0B00-000006000000}">
          <x14:formula1>
            <xm:f>Formeln!$A$263:$A$265</xm:f>
          </x14:formula1>
          <xm:sqref>J51:K51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3"/>
  <dimension ref="A1:EH176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38" width="0" style="1" hidden="1" customWidth="1"/>
    <col min="139" max="16384" width="8.6640625" style="1" hidden="1"/>
  </cols>
  <sheetData>
    <row r="1" spans="1:17" ht="28.2">
      <c r="M1" s="2" t="str">
        <f>VLOOKUP("DACHRINNENSYSTEME",Sprachindex!A:Z,Info!$O$6,FALSE)</f>
        <v>DACHRINNENSYSTEME</v>
      </c>
    </row>
    <row r="2" spans="1:17" ht="28.2">
      <c r="D2" s="19"/>
      <c r="M2" s="2" t="str">
        <f>VLOOKUP("QUADRATROHR P.10",Sprachindex!A:Z,Info!$O$6,FALSE)</f>
        <v>QUADRATROHR P.10</v>
      </c>
    </row>
    <row r="3" spans="1:17" ht="15" customHeight="1"/>
    <row r="4" spans="1:17" ht="17.25" customHeight="1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7" ht="17.25" customHeight="1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ODER EMAIL:</v>
      </c>
      <c r="K5" s="254"/>
      <c r="L5" s="255"/>
      <c r="M5" s="256"/>
      <c r="N5" s="87"/>
      <c r="Q5" s="3"/>
    </row>
    <row r="6" spans="1:17" ht="17.25" customHeight="1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Datum:</v>
      </c>
      <c r="K6" s="254"/>
      <c r="L6" s="255"/>
      <c r="M6" s="256"/>
      <c r="N6" s="119">
        <v>0</v>
      </c>
      <c r="Q6" s="3"/>
    </row>
    <row r="7" spans="1:17" ht="17.25" customHeight="1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Bestellnummer:</v>
      </c>
      <c r="K7" s="254"/>
      <c r="L7" s="255"/>
      <c r="M7" s="256"/>
      <c r="N7" s="119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I9" s="87"/>
      <c r="J9" s="85"/>
      <c r="K9" s="86"/>
      <c r="L9" s="85" t="str">
        <f>VLOOKUP("glatt",Sprachindex!A:Z,Info!$O$6,FALSE)</f>
        <v>glatt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P10" s="204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119"/>
      <c r="O11" s="11"/>
      <c r="P11" s="204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  <c r="P12" s="204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12"/>
      <c r="P13" s="204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6" t="str">
        <f>VLOOKUP("10 P.10 Prefaweiß",Sprachindex!A:Z,Info!$O$6,FALSE)</f>
        <v>10 P.10 prefaweiß</v>
      </c>
      <c r="K16" s="85"/>
      <c r="L16" s="86"/>
      <c r="M16" s="86"/>
      <c r="N16" s="87"/>
    </row>
    <row r="17" spans="1:43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6" t="str">
        <f>VLOOKUP("11 P.10 Nussbraun",Sprachindex!A:Z,Info!$O$6,FALSE)</f>
        <v>11 P.10 nussbraun</v>
      </c>
      <c r="K17" s="127"/>
      <c r="L17" s="86"/>
      <c r="M17" s="86"/>
      <c r="N17" s="87"/>
      <c r="P17" s="10"/>
    </row>
    <row r="18" spans="1:43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6" t="str">
        <f>VLOOKUP("19 P.10 Dunkelgrau",Sprachindex!A:Z,Info!$O$6,FALSE)</f>
        <v>19 P.10 dunkelgrau</v>
      </c>
      <c r="K18" s="115"/>
      <c r="L18" s="86"/>
      <c r="M18" s="86"/>
      <c r="N18" s="114"/>
      <c r="Q18" s="4"/>
    </row>
    <row r="19" spans="1:43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VLOOKUP("07 P.10 hellgrau ",Sprachindex!A:Z,Info!$O$6,FALSE)</f>
        <v xml:space="preserve">07 P.10 hellgrau </v>
      </c>
      <c r="H19" s="86"/>
      <c r="I19" s="85"/>
      <c r="J19" s="86"/>
      <c r="K19" s="86"/>
      <c r="L19" s="127"/>
      <c r="M19" s="86"/>
      <c r="N19" s="87"/>
      <c r="Q19" s="8"/>
    </row>
    <row r="20" spans="1:43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H20" s="86"/>
      <c r="I20" s="85"/>
      <c r="J20" s="86"/>
      <c r="K20" s="86"/>
      <c r="L20" s="86"/>
      <c r="M20" s="86"/>
      <c r="N20" s="87"/>
      <c r="Q20" s="4"/>
    </row>
    <row r="21" spans="1:43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/>
      <c r="H21" s="86"/>
      <c r="I21" s="86"/>
      <c r="J21" s="86"/>
      <c r="K21" s="86"/>
      <c r="L21" s="86"/>
      <c r="M21" s="86"/>
      <c r="N21" s="119"/>
      <c r="Q21" s="4"/>
    </row>
    <row r="22" spans="1:43" ht="15" customHeight="1">
      <c r="A22" s="86"/>
      <c r="B22" s="90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119"/>
      <c r="Q22" s="4"/>
    </row>
    <row r="23" spans="1:43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43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87"/>
      <c r="O24" s="56"/>
      <c r="P24" s="56"/>
      <c r="Q24" s="14"/>
    </row>
    <row r="25" spans="1:43" s="5" customFormat="1" ht="15" customHeight="1">
      <c r="A25" s="1"/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87"/>
      <c r="O25" s="56"/>
      <c r="P25" s="56"/>
      <c r="Q25" s="14"/>
    </row>
    <row r="26" spans="1:43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54"/>
      <c r="J26" s="255"/>
      <c r="K26" s="256"/>
      <c r="L26" s="86"/>
      <c r="M26" s="86"/>
      <c r="N26" s="87"/>
      <c r="O26" s="56"/>
      <c r="P26" s="56"/>
      <c r="Q26" s="14"/>
    </row>
    <row r="27" spans="1:43" s="5" customFormat="1" ht="15" customHeight="1">
      <c r="A27" s="1"/>
      <c r="B27" s="283"/>
      <c r="C27" s="254"/>
      <c r="D27" s="255"/>
      <c r="E27" s="256"/>
      <c r="F27" s="86"/>
      <c r="L27" s="86"/>
      <c r="M27" s="86"/>
      <c r="N27" s="87"/>
      <c r="O27" s="56"/>
      <c r="P27" s="56"/>
      <c r="Q27" s="14"/>
    </row>
    <row r="28" spans="1:43" ht="15" customHeight="1">
      <c r="A28" s="86"/>
      <c r="B28" s="90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7"/>
      <c r="P28" s="8"/>
      <c r="Q28" s="4"/>
    </row>
    <row r="29" spans="1:43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N29" s="87"/>
      <c r="P29" s="282" t="s">
        <v>24</v>
      </c>
      <c r="Q29" s="282"/>
      <c r="R29" s="282" t="s">
        <v>369</v>
      </c>
      <c r="S29" s="282"/>
      <c r="AA29" s="65" t="s">
        <v>2150</v>
      </c>
      <c r="AI29" s="65" t="s">
        <v>2151</v>
      </c>
      <c r="AQ29" s="65" t="s">
        <v>2152</v>
      </c>
    </row>
    <row r="30" spans="1:43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N30" s="87"/>
      <c r="O30" s="1"/>
      <c r="P30" s="207" t="s">
        <v>27</v>
      </c>
      <c r="Q30" s="207" t="s">
        <v>28</v>
      </c>
      <c r="R30" s="207" t="s">
        <v>27</v>
      </c>
      <c r="S30" s="207" t="s">
        <v>28</v>
      </c>
      <c r="T30" s="67" t="s">
        <v>2219</v>
      </c>
      <c r="U30" s="67" t="s">
        <v>75</v>
      </c>
      <c r="V30" s="67" t="s">
        <v>2220</v>
      </c>
      <c r="W30" s="67" t="s">
        <v>41</v>
      </c>
      <c r="X30" s="67" t="s">
        <v>2221</v>
      </c>
      <c r="Y30" s="232" t="s">
        <v>2222</v>
      </c>
      <c r="Z30" s="232" t="s">
        <v>2052</v>
      </c>
      <c r="AB30" s="67" t="s">
        <v>2219</v>
      </c>
      <c r="AC30" s="67" t="s">
        <v>75</v>
      </c>
      <c r="AD30" s="67" t="s">
        <v>2220</v>
      </c>
      <c r="AE30" s="67" t="s">
        <v>41</v>
      </c>
      <c r="AF30" s="67" t="s">
        <v>2221</v>
      </c>
      <c r="AG30" s="232" t="s">
        <v>2222</v>
      </c>
      <c r="AH30" s="232" t="s">
        <v>2052</v>
      </c>
      <c r="AJ30" s="67" t="s">
        <v>2219</v>
      </c>
      <c r="AK30" s="67" t="s">
        <v>75</v>
      </c>
      <c r="AL30" s="67" t="s">
        <v>2220</v>
      </c>
      <c r="AM30" s="67" t="s">
        <v>41</v>
      </c>
      <c r="AN30" s="67" t="s">
        <v>2221</v>
      </c>
      <c r="AO30" s="232" t="s">
        <v>2222</v>
      </c>
      <c r="AP30" s="232" t="s">
        <v>2052</v>
      </c>
    </row>
    <row r="31" spans="1:43" ht="32.1" customHeight="1">
      <c r="A31" s="122"/>
      <c r="B31" s="221" t="str">
        <f>VLOOKUP("lfm",Sprachindex!A:Z,Info!$O$6,FALSE)</f>
        <v>lfm</v>
      </c>
      <c r="C31" s="123"/>
      <c r="D31" s="95">
        <f>IF(J31=Formeln_RI_P.10!B135,AA31,IF(J31=Formeln_RI_P.10!B136,AI32,IF(J31=Formeln_RI_P.10!B137,AQ32,0)))</f>
        <v>0</v>
      </c>
      <c r="E31" s="293" t="str">
        <f>VLOOKUP("Quadratrohr 80 mm",Sprachindex!A:Z,Info!$O$6,FALSE)</f>
        <v>Quadratrohr 80 mm</v>
      </c>
      <c r="F31" s="294"/>
      <c r="G31" s="294"/>
      <c r="H31" s="317" t="str">
        <f>VLOOKUP("Rohrlänge wählen:",Sprachindex!A:Z,Info!$O$6,FALSE)</f>
        <v>Rohrlänge wählen:</v>
      </c>
      <c r="I31" s="318"/>
      <c r="J31" s="322"/>
      <c r="K31" s="323"/>
      <c r="L31" s="221" t="str">
        <f>IF(OR(A31="",R31="",S31="")," ",IF($N$11=1,P31,IF($N$11=2,Q31,0)))</f>
        <v xml:space="preserve"> </v>
      </c>
      <c r="M31" s="125"/>
      <c r="N31" s="87"/>
      <c r="O31" s="1"/>
      <c r="P31" s="191" t="e">
        <f>ROUNDUP($A31/R31,0)*R31 &amp; "  " &amp; Formeln!$A$112 &amp; "                     " &amp; " (" &amp; ROUNDUP($A31/R31,0) &amp; " " &amp; Formeln_RI_P.10!$A$111 &amp; ")"</f>
        <v>#VALUE!</v>
      </c>
      <c r="Q31" s="191" t="e">
        <f>ROUNDUP($A31/S$32,0)*S$32 &amp; "  " &amp; Formeln!$A$112 &amp; "                     " &amp; " (" &amp; ROUNDUP($A31/S$32,0) &amp; " " &amp; Formeln_RI_P.10!$A$111 &amp; ")"</f>
        <v>#VALUE!</v>
      </c>
      <c r="R31" s="191" t="str">
        <f>IF($J$32=Formeln!$B$139,"",IF($J$32=Formeln!$B$140,0.6,IF($J$32=Formeln!$B$141,1.5,IF($J$32=Formeln!$B$142,3,""))))</f>
        <v/>
      </c>
      <c r="S31" s="191" t="str">
        <f>IF($J$32=Formeln!$B$139,"",IF($J$32=Formeln!$B$140,0.6,IF($J$32=Formeln!$B$141,1.5,IF($J$32=Formeln!$B$142,3,""))))</f>
        <v/>
      </c>
      <c r="T31" s="205" t="s">
        <v>2223</v>
      </c>
      <c r="U31" s="68" t="s">
        <v>2224</v>
      </c>
      <c r="V31" s="68"/>
      <c r="W31" s="68" t="s">
        <v>2225</v>
      </c>
      <c r="X31" s="68"/>
      <c r="Y31" s="68"/>
      <c r="Z31" s="68"/>
      <c r="AA31" s="73">
        <f>IF($N$21=1,T31,IF($N$21=2,U31,IF($N$21=3,V31,IF($N$21=4,W31,IF($N$21=5,X31,IF($N$21=6,Y31,IF($N$21=7,Z31,0)))))))</f>
        <v>0</v>
      </c>
      <c r="AB31" s="68" t="s">
        <v>2226</v>
      </c>
      <c r="AC31" s="68" t="s">
        <v>2227</v>
      </c>
      <c r="AD31" s="68"/>
      <c r="AE31" s="68" t="s">
        <v>2228</v>
      </c>
      <c r="AF31" s="68"/>
      <c r="AG31" s="68"/>
      <c r="AH31" s="68"/>
      <c r="AI31" s="73">
        <f>IF($N$21=1,AB31,IF($N$21=2,AC31,IF($N$21=3,AD31,IF($N$21=4,AE31,IF($N$21=5,AF31,IF($N$21=6,AG31,IF($N$21=7,AH31,0)))))))</f>
        <v>0</v>
      </c>
      <c r="AJ31" s="68" t="s">
        <v>2229</v>
      </c>
      <c r="AK31" s="68" t="s">
        <v>2230</v>
      </c>
      <c r="AL31" s="68"/>
      <c r="AM31" s="68" t="s">
        <v>2231</v>
      </c>
      <c r="AN31" s="68"/>
      <c r="AO31" s="68"/>
      <c r="AP31" s="68"/>
      <c r="AQ31" s="73">
        <f>IF($N$21=1,AJ31,IF($N$21=2,AK31,IF($N$21=3,AL31,IF($N$21=4,AM31,IF($N$21=5,AN31,IF($N$21=6,AO31,IF($N$21=7,AP31,0)))))))</f>
        <v>0</v>
      </c>
    </row>
    <row r="32" spans="1:43" ht="32.1" customHeight="1">
      <c r="A32" s="118"/>
      <c r="B32" s="96" t="str">
        <f>VLOOKUP("lfm",Sprachindex!A:Z,Info!$O$6,FALSE)</f>
        <v>lfm</v>
      </c>
      <c r="C32" s="95"/>
      <c r="D32" s="95">
        <f>IF(J32=Formeln_RI_P.10!B135,AA32,IF(J32=Formeln_RI_P.10!B136,AI32,IF(J32=Formeln_RI_P.10!B137,AQ32,0)))</f>
        <v>0</v>
      </c>
      <c r="E32" s="250" t="str">
        <f>VLOOKUP("Quadratrohr 100 mm",Sprachindex!A:Z,Info!$O$6,FALSE)</f>
        <v>Quadratrohr 100 mm</v>
      </c>
      <c r="F32" s="251"/>
      <c r="G32" s="251"/>
      <c r="H32" s="315" t="str">
        <f>VLOOKUP("Rohrlänge wählen:",Sprachindex!A:Z,Info!$O$6,FALSE)</f>
        <v>Rohrlänge wählen:</v>
      </c>
      <c r="I32" s="316"/>
      <c r="J32" s="252"/>
      <c r="K32" s="253"/>
      <c r="L32" s="96" t="str">
        <f>IF(OR(A32="",R32="",S32="")," ",IF($N$11=1,P32,IF($N$11=2,Q32,0)))</f>
        <v xml:space="preserve"> </v>
      </c>
      <c r="M32" s="97"/>
      <c r="N32" s="87"/>
      <c r="O32" s="1"/>
      <c r="P32" s="191" t="e">
        <f>ROUNDUP($A32/R32,0)*R32 &amp; "  " &amp; Formeln_RI_P.10!$A$112 &amp; "                     " &amp; " (" &amp; ROUNDUP($A32/R32,0) &amp; " " &amp; Formeln_RI_P.10!$A$111 &amp; ")"</f>
        <v>#VALUE!</v>
      </c>
      <c r="Q32" s="191" t="e">
        <f>ROUNDUP($A32/S$32,0)*S$32 &amp; "  " &amp;Formeln_RI_P.10!$A$112 &amp; "                     " &amp; " (" &amp; ROUNDUP($A32/S$32,0) &amp; " " &amp; Formeln_RI_P.10!$A$111 &amp; ")"</f>
        <v>#VALUE!</v>
      </c>
      <c r="R32" s="191" t="str">
        <f>IF($J$32=Formeln_RI_P.10!$B$134,"",IF($J$32=Formeln_RI_P.10!$B$135,0.6,IF($J$32=Formeln_RI_P.10!$B$136,1.5,IF($J$32=Formeln_RI_P.10!$B$137,3,""))))</f>
        <v/>
      </c>
      <c r="S32" s="191" t="str">
        <f>IF($J$32=Formeln_RI_P.10!$B$134,"",IF($J$32=Formeln_RI_P.10!$B$135,0.6,IF($J$32=Formeln_RI_P.10!$B$136,1.5,IF($J$32=Formeln_RI_P.10!$B$137,3,""))))</f>
        <v/>
      </c>
      <c r="T32" s="68" t="s">
        <v>2232</v>
      </c>
      <c r="U32" s="68" t="s">
        <v>2233</v>
      </c>
      <c r="V32" s="68" t="s">
        <v>2234</v>
      </c>
      <c r="W32" s="68" t="s">
        <v>2235</v>
      </c>
      <c r="X32" s="68" t="s">
        <v>2236</v>
      </c>
      <c r="Y32" s="68" t="s">
        <v>2237</v>
      </c>
      <c r="Z32" s="68" t="s">
        <v>2238</v>
      </c>
      <c r="AA32" s="73">
        <f>IF($N$21=1,T32,IF($N$21=2,U32,IF($N$21=3,V32,IF($N$21=4,W32,IF($N$21=5,X32,IF($N$21=6,Y32,IF($N$21=7,Z32,0)))))))</f>
        <v>0</v>
      </c>
      <c r="AB32" s="68" t="s">
        <v>2239</v>
      </c>
      <c r="AC32" s="68" t="s">
        <v>2240</v>
      </c>
      <c r="AD32" s="68" t="s">
        <v>2241</v>
      </c>
      <c r="AE32" s="68" t="s">
        <v>2242</v>
      </c>
      <c r="AF32" s="68" t="s">
        <v>2243</v>
      </c>
      <c r="AG32" s="68" t="s">
        <v>2244</v>
      </c>
      <c r="AH32" s="68" t="s">
        <v>2245</v>
      </c>
      <c r="AI32" s="73">
        <f>IF($N$21=1,AB32,IF($N$21=2,AC32,IF($N$21=3,AD32,IF($N$21=4,AE32,IF($N$21=5,AF32,IF($N$21=6,AG32,IF($N$21=7,AH32,0)))))))</f>
        <v>0</v>
      </c>
      <c r="AJ32" s="68" t="s">
        <v>2246</v>
      </c>
      <c r="AK32" s="68" t="s">
        <v>2247</v>
      </c>
      <c r="AL32" s="68" t="s">
        <v>2248</v>
      </c>
      <c r="AM32" s="68" t="s">
        <v>2249</v>
      </c>
      <c r="AN32" s="68" t="s">
        <v>2250</v>
      </c>
      <c r="AO32" s="68" t="s">
        <v>2251</v>
      </c>
      <c r="AP32" s="68" t="s">
        <v>2252</v>
      </c>
      <c r="AQ32" s="73">
        <f>IF($N$21=1,AJ32,IF($N$21=2,AK32,IF($N$21=3,AL32,IF($N$21=4,AM32,IF($N$21=5,AN32,IF($N$21=6,AO32,IF($N$21=7,AP32,0)))))))</f>
        <v>0</v>
      </c>
    </row>
    <row r="33" spans="1:35" ht="32.1" customHeight="1">
      <c r="A33" s="131"/>
      <c r="B33" s="96" t="str">
        <f>VLOOKUP("STK",Sprachindex!A:Z,Info!$O$6,FALSE)</f>
        <v>STK</v>
      </c>
      <c r="C33" s="129"/>
      <c r="D33" s="95">
        <v>150050</v>
      </c>
      <c r="E33" s="319" t="str">
        <f>VLOOKUP("Halteklemme, blank",Sprachindex!A:Z,Info!$O$6,FALSE)</f>
        <v>Halteklemme, blank</v>
      </c>
      <c r="F33" s="320"/>
      <c r="G33" s="320"/>
      <c r="H33" s="320"/>
      <c r="I33" s="320"/>
      <c r="J33" s="320"/>
      <c r="K33" s="321"/>
      <c r="L33" s="96" t="str">
        <f t="shared" ref="L33:L58" si="0">IF(OR(A33="",R33="",S33="")," ",IF($N$11=1,P33,IF($N$11=2,Q33,0)))</f>
        <v xml:space="preserve"> </v>
      </c>
      <c r="M33" s="130"/>
      <c r="N33" s="87"/>
      <c r="O33" s="1"/>
      <c r="P33" s="191" t="str">
        <f>ROUNDUP($A33/R33,0)*R33 &amp; "  " &amp; Formeln_RI_P.10!$A$111</f>
        <v>0  STK</v>
      </c>
      <c r="Q33" s="191" t="str">
        <f>ROUNDUP($A33/S33,0)*S33 &amp; "  " &amp; Formeln_RI_P.10!$A$111</f>
        <v>0  STK</v>
      </c>
      <c r="R33" s="191">
        <v>1</v>
      </c>
      <c r="S33" s="191">
        <v>1</v>
      </c>
      <c r="T33"/>
    </row>
    <row r="34" spans="1:35" ht="32.1" customHeight="1">
      <c r="A34" s="131"/>
      <c r="B34" s="96" t="str">
        <f>VLOOKUP("STK",Sprachindex!A:Z,Info!$O$6,FALSE)</f>
        <v>STK</v>
      </c>
      <c r="C34" s="129"/>
      <c r="D34" s="95">
        <v>150051</v>
      </c>
      <c r="E34" s="319" t="str">
        <f>VLOOKUP("Blitzschutzklemme, blank",Sprachindex!A:Z,Info!$O$6,FALSE)</f>
        <v>Blitzschutzklemme, blank</v>
      </c>
      <c r="F34" s="320"/>
      <c r="G34" s="320"/>
      <c r="H34" s="320"/>
      <c r="I34" s="320"/>
      <c r="J34" s="320"/>
      <c r="K34" s="321"/>
      <c r="L34" s="96" t="str">
        <f t="shared" si="0"/>
        <v xml:space="preserve"> </v>
      </c>
      <c r="M34" s="130"/>
      <c r="N34" s="87"/>
      <c r="O34" s="1"/>
      <c r="P34" s="191" t="str">
        <f>ROUNDUP($A34/R34,0)*R34 &amp; "  " &amp; Formeln_RI_P.10!$A$111</f>
        <v>0  STK</v>
      </c>
      <c r="Q34" s="191" t="str">
        <f>ROUNDUP($A34/S34,0)*S34 &amp; "  " &amp; Formeln_RI_P.10!$A$111</f>
        <v>0  STK</v>
      </c>
      <c r="R34" s="191">
        <v>1</v>
      </c>
      <c r="S34" s="191">
        <v>1</v>
      </c>
      <c r="T34" s="67" t="s">
        <v>2219</v>
      </c>
      <c r="U34" s="67" t="s">
        <v>75</v>
      </c>
      <c r="V34" s="67" t="s">
        <v>2220</v>
      </c>
      <c r="W34" s="67" t="s">
        <v>41</v>
      </c>
      <c r="X34" s="67" t="s">
        <v>2221</v>
      </c>
      <c r="Y34" s="232" t="s">
        <v>2222</v>
      </c>
      <c r="Z34" s="232" t="s">
        <v>2052</v>
      </c>
      <c r="AB34" s="67" t="s">
        <v>2219</v>
      </c>
      <c r="AC34" s="67" t="s">
        <v>75</v>
      </c>
      <c r="AD34" s="67" t="s">
        <v>2220</v>
      </c>
      <c r="AE34" s="67" t="s">
        <v>41</v>
      </c>
      <c r="AF34" s="67" t="s">
        <v>2221</v>
      </c>
      <c r="AG34" s="232" t="s">
        <v>2222</v>
      </c>
      <c r="AH34" s="232" t="s">
        <v>2052</v>
      </c>
    </row>
    <row r="35" spans="1:35" ht="32.1" customHeight="1">
      <c r="A35" s="131"/>
      <c r="B35" s="96" t="str">
        <f>VLOOKUP("STK",Sprachindex!A:Z,Info!$O$6,FALSE)</f>
        <v>STK</v>
      </c>
      <c r="C35" s="129"/>
      <c r="D35" s="95">
        <f t="shared" ref="D35:D41" si="1">AA35</f>
        <v>0</v>
      </c>
      <c r="E35" s="250" t="str">
        <f>VLOOKUP("Quadratrohrbogen 80 mm, 72°, lang",Sprachindex!A:Z,Info!$O$6,FALSE)</f>
        <v>Quadratrohrbogen 80 mm, 72°, lang</v>
      </c>
      <c r="F35" s="251"/>
      <c r="G35" s="251"/>
      <c r="H35" s="251"/>
      <c r="I35" s="251"/>
      <c r="J35" s="251"/>
      <c r="K35" s="257"/>
      <c r="L35" s="96" t="str">
        <f t="shared" si="0"/>
        <v xml:space="preserve"> </v>
      </c>
      <c r="M35" s="130"/>
      <c r="N35" s="87"/>
      <c r="O35" s="1"/>
      <c r="P35" s="191" t="str">
        <f>ROUNDUP($A35/R35,0)*R35 &amp; "  " &amp; Formeln!$A$111</f>
        <v>0  STK</v>
      </c>
      <c r="Q35" s="191" t="str">
        <f>ROUNDUP($A35/S35,0)*S35 &amp; "  " &amp; Formeln!$A$111</f>
        <v>0  STK</v>
      </c>
      <c r="R35" s="191">
        <v>1</v>
      </c>
      <c r="S35" s="191">
        <v>1</v>
      </c>
      <c r="T35" s="68" t="s">
        <v>2253</v>
      </c>
      <c r="U35" s="68" t="s">
        <v>2253</v>
      </c>
      <c r="V35" s="68"/>
      <c r="W35" s="68" t="s">
        <v>2254</v>
      </c>
      <c r="X35" s="68"/>
      <c r="Y35" s="68"/>
      <c r="Z35" s="68"/>
      <c r="AA35" s="73">
        <f t="shared" ref="AA35" si="2">IF($N$21=1,T35,IF($N$21=2,U35,IF($N$21=3,V35,IF($N$21=4,W35,IF($N$21=5,X35,IF($N$21=6,Y35,IF($N$21=7,Z35,0)))))))</f>
        <v>0</v>
      </c>
    </row>
    <row r="36" spans="1:35" ht="32.1" customHeight="1">
      <c r="A36" s="131"/>
      <c r="B36" s="96" t="str">
        <f>VLOOKUP("STK",Sprachindex!A:Z,Info!$O$6,FALSE)</f>
        <v>STK</v>
      </c>
      <c r="C36" s="129"/>
      <c r="D36" s="95">
        <f t="shared" si="1"/>
        <v>0</v>
      </c>
      <c r="E36" s="250" t="str">
        <f>VLOOKUP("Quadratrohrbogen 100 mm, 72°, lang",Sprachindex!A:Z,Info!$O$6,FALSE)</f>
        <v>Quadratrohrbogen 100 mm, 72°, lang</v>
      </c>
      <c r="F36" s="251"/>
      <c r="G36" s="251"/>
      <c r="H36" s="251"/>
      <c r="I36" s="251"/>
      <c r="J36" s="251"/>
      <c r="K36" s="257"/>
      <c r="L36" s="96" t="str">
        <f t="shared" si="0"/>
        <v xml:space="preserve"> </v>
      </c>
      <c r="M36" s="130"/>
      <c r="N36" s="87"/>
      <c r="O36" s="1"/>
      <c r="P36" s="191" t="str">
        <f>ROUNDUP($A36/R36,0)*R36 &amp; "  " &amp; Formeln_RI_P.10!$A$111</f>
        <v>0  STK</v>
      </c>
      <c r="Q36" s="191" t="str">
        <f>ROUNDUP($A36/S36,0)*S36 &amp; "  " &amp; Formeln_RI_P.10!$A$111</f>
        <v>0  STK</v>
      </c>
      <c r="R36" s="191">
        <v>1</v>
      </c>
      <c r="S36" s="191">
        <v>1</v>
      </c>
      <c r="T36" s="68" t="s">
        <v>2255</v>
      </c>
      <c r="U36" s="68" t="s">
        <v>2256</v>
      </c>
      <c r="V36" s="68" t="s">
        <v>2257</v>
      </c>
      <c r="W36" s="68" t="s">
        <v>2235</v>
      </c>
      <c r="X36" s="68" t="s">
        <v>2258</v>
      </c>
      <c r="Y36" s="68" t="s">
        <v>2259</v>
      </c>
      <c r="Z36" s="68" t="s">
        <v>2260</v>
      </c>
      <c r="AA36" s="73">
        <f t="shared" ref="AA36:AA42" si="3">IF($N$21=1,T36,IF($N$21=2,U36,IF($N$21=3,V36,IF($N$21=4,W36,IF($N$21=5,X36,IF($N$21=6,Y36,IF($N$21=7,Z36,0)))))))</f>
        <v>0</v>
      </c>
    </row>
    <row r="37" spans="1:35" ht="32.1" customHeight="1">
      <c r="A37" s="131"/>
      <c r="B37" s="96" t="str">
        <f>VLOOKUP("STK",Sprachindex!A:Z,Info!$O$6,FALSE)</f>
        <v>STK</v>
      </c>
      <c r="C37" s="95"/>
      <c r="D37" s="95">
        <f t="shared" si="1"/>
        <v>0</v>
      </c>
      <c r="E37" s="250" t="str">
        <f>VLOOKUP("Quadratrohrbogen 80 mm, 72°, kurz",Sprachindex!A:Z,Info!$O$6,FALSE)</f>
        <v>Quadratrohrbogen 80 mm, 72°, kurz</v>
      </c>
      <c r="F37" s="251"/>
      <c r="G37" s="251"/>
      <c r="H37" s="251"/>
      <c r="I37" s="251"/>
      <c r="J37" s="251"/>
      <c r="K37" s="257"/>
      <c r="L37" s="96" t="str">
        <f t="shared" si="0"/>
        <v xml:space="preserve"> </v>
      </c>
      <c r="M37" s="130"/>
      <c r="N37" s="87"/>
      <c r="O37" s="1"/>
      <c r="P37" s="191" t="str">
        <f>ROUNDUP($A37/R37,0)*R37 &amp; "  " &amp; Formeln!$A$111</f>
        <v>0  STK</v>
      </c>
      <c r="Q37" s="191" t="str">
        <f>ROUNDUP($A37/S37,0)*S37 &amp; "  " &amp; Formeln!$A$111</f>
        <v>0  STK</v>
      </c>
      <c r="R37" s="191">
        <v>1</v>
      </c>
      <c r="S37" s="191">
        <v>1</v>
      </c>
      <c r="T37" s="68" t="s">
        <v>2261</v>
      </c>
      <c r="U37" s="68" t="s">
        <v>2262</v>
      </c>
      <c r="V37" s="68"/>
      <c r="W37" s="68" t="s">
        <v>2263</v>
      </c>
      <c r="X37" s="68"/>
      <c r="Y37" s="68"/>
      <c r="Z37" s="68"/>
      <c r="AA37" s="73">
        <f t="shared" si="3"/>
        <v>0</v>
      </c>
    </row>
    <row r="38" spans="1:35" ht="32.1" customHeight="1">
      <c r="A38" s="131"/>
      <c r="B38" s="96" t="str">
        <f>VLOOKUP("STK",Sprachindex!A:Z,Info!$O$6,FALSE)</f>
        <v>STK</v>
      </c>
      <c r="C38" s="95"/>
      <c r="D38" s="95">
        <f t="shared" si="1"/>
        <v>0</v>
      </c>
      <c r="E38" s="250" t="str">
        <f>VLOOKUP("Quadratrohrbogen 100 mm, 72°, kurz",Sprachindex!A:Z,Info!$O$6,FALSE)</f>
        <v>Quadratrohrbogen 100 mm, 72°, kurz</v>
      </c>
      <c r="F38" s="251"/>
      <c r="G38" s="251"/>
      <c r="H38" s="251"/>
      <c r="I38" s="251"/>
      <c r="J38" s="251"/>
      <c r="K38" s="257"/>
      <c r="L38" s="96" t="str">
        <f t="shared" si="0"/>
        <v xml:space="preserve"> </v>
      </c>
      <c r="M38" s="130"/>
      <c r="N38" s="87"/>
      <c r="O38" s="1"/>
      <c r="P38" s="191" t="str">
        <f>ROUNDUP($A38/R38,0)*R38 &amp; "  " &amp; Formeln_RI_P.10!$A$111</f>
        <v>0  STK</v>
      </c>
      <c r="Q38" s="191" t="str">
        <f>ROUNDUP($A38/S38,0)*S38 &amp; "  " &amp; Formeln_RI_P.10!$A$111</f>
        <v>0  STK</v>
      </c>
      <c r="R38" s="191">
        <v>1</v>
      </c>
      <c r="S38" s="191">
        <v>1</v>
      </c>
      <c r="T38" s="68" t="s">
        <v>2264</v>
      </c>
      <c r="U38" s="68" t="s">
        <v>2265</v>
      </c>
      <c r="V38" s="68" t="s">
        <v>2266</v>
      </c>
      <c r="W38" s="68" t="s">
        <v>2235</v>
      </c>
      <c r="X38" s="68" t="s">
        <v>2267</v>
      </c>
      <c r="Y38" s="68" t="s">
        <v>2268</v>
      </c>
      <c r="Z38" s="68" t="s">
        <v>2269</v>
      </c>
      <c r="AA38" s="73">
        <f t="shared" si="3"/>
        <v>0</v>
      </c>
    </row>
    <row r="39" spans="1:35" ht="32.1" customHeight="1">
      <c r="A39" s="131"/>
      <c r="B39" s="96" t="str">
        <f>VLOOKUP("STK",Sprachindex!A:Z,Info!$O$6,FALSE)</f>
        <v>STK</v>
      </c>
      <c r="C39" s="95"/>
      <c r="D39" s="95">
        <f t="shared" si="1"/>
        <v>0</v>
      </c>
      <c r="E39" s="250" t="str">
        <f>VLOOKUP("Quadratrohr 80 mm, Wasserfangkasten",Sprachindex!A:Z,Info!$O$6,FALSE)</f>
        <v>Quadratrohr 80 mm, Wasserfangkasten</v>
      </c>
      <c r="F39" s="251"/>
      <c r="G39" s="251"/>
      <c r="H39" s="251"/>
      <c r="I39" s="251"/>
      <c r="J39" s="251"/>
      <c r="K39" s="257"/>
      <c r="L39" s="96" t="str">
        <f t="shared" si="0"/>
        <v xml:space="preserve"> </v>
      </c>
      <c r="M39" s="130"/>
      <c r="N39" s="87"/>
      <c r="O39" s="1"/>
      <c r="P39" s="191" t="str">
        <f>ROUNDUP($A39/R39,0)*R39 &amp; "  " &amp; Formeln!$A$111</f>
        <v>0  STK</v>
      </c>
      <c r="Q39" s="191" t="str">
        <f>ROUNDUP($A39/S39,0)*S39 &amp; "  " &amp; Formeln!$A$111</f>
        <v>0  STK</v>
      </c>
      <c r="R39" s="191">
        <v>1</v>
      </c>
      <c r="S39" s="191">
        <v>1</v>
      </c>
      <c r="T39" s="68" t="s">
        <v>2270</v>
      </c>
      <c r="U39" s="68" t="s">
        <v>2271</v>
      </c>
      <c r="V39" s="68"/>
      <c r="W39" s="68" t="s">
        <v>2272</v>
      </c>
      <c r="X39" s="68"/>
      <c r="Y39" s="68"/>
      <c r="Z39" s="68"/>
      <c r="AA39" s="73">
        <f t="shared" si="3"/>
        <v>0</v>
      </c>
    </row>
    <row r="40" spans="1:35" ht="32.1" customHeight="1">
      <c r="A40" s="131"/>
      <c r="B40" s="96" t="str">
        <f>VLOOKUP("STK",Sprachindex!A:Z,Info!$O$6,FALSE)</f>
        <v>STK</v>
      </c>
      <c r="C40" s="95"/>
      <c r="D40" s="95">
        <f t="shared" si="1"/>
        <v>0</v>
      </c>
      <c r="E40" s="250" t="str">
        <f>VLOOKUP("Quadratrohr 100 mm, Wasserfangkasten",Sprachindex!A:Z,Info!$O$6,FALSE)</f>
        <v>Quadratrohr 100 mm, Wasserfangkasten</v>
      </c>
      <c r="F40" s="251"/>
      <c r="G40" s="251"/>
      <c r="H40" s="251"/>
      <c r="I40" s="251"/>
      <c r="J40" s="251"/>
      <c r="K40" s="257"/>
      <c r="L40" s="96" t="str">
        <f t="shared" si="0"/>
        <v xml:space="preserve"> </v>
      </c>
      <c r="M40" s="130"/>
      <c r="N40" s="87"/>
      <c r="O40" s="1"/>
      <c r="P40" s="191" t="str">
        <f>ROUNDUP($A40/R40,0)*R40 &amp; "  " &amp; Formeln_RI_P.10!$A$111</f>
        <v>0  STK</v>
      </c>
      <c r="Q40" s="191" t="str">
        <f>ROUNDUP($A40/S40,0)*S40 &amp; "  " &amp; Formeln_RI_P.10!$A$111</f>
        <v>0  STK</v>
      </c>
      <c r="R40" s="191">
        <v>1</v>
      </c>
      <c r="S40" s="191">
        <v>1</v>
      </c>
      <c r="T40" s="68" t="s">
        <v>2273</v>
      </c>
      <c r="U40" s="68" t="s">
        <v>2274</v>
      </c>
      <c r="V40" s="68" t="s">
        <v>2275</v>
      </c>
      <c r="W40" s="68" t="s">
        <v>2276</v>
      </c>
      <c r="X40" s="68" t="s">
        <v>2277</v>
      </c>
      <c r="Y40" s="68" t="s">
        <v>2278</v>
      </c>
      <c r="Z40" s="68" t="s">
        <v>2279</v>
      </c>
      <c r="AA40" s="73">
        <f t="shared" si="3"/>
        <v>0</v>
      </c>
    </row>
    <row r="41" spans="1:35" ht="32.1" customHeight="1">
      <c r="A41" s="131"/>
      <c r="B41" s="96" t="str">
        <f>VLOOKUP("STK",Sprachindex!A:Z,Info!$O$6,FALSE)</f>
        <v>STK</v>
      </c>
      <c r="C41" s="95"/>
      <c r="D41" s="95">
        <f t="shared" si="1"/>
        <v>0</v>
      </c>
      <c r="E41" s="250" t="str">
        <f>VLOOKUP("Quadratrohr 80 mm, Muffe",Sprachindex!A:Z,Info!$O$6,FALSE)</f>
        <v>Quadratrohr 80 mm, Muffe</v>
      </c>
      <c r="F41" s="251"/>
      <c r="G41" s="251"/>
      <c r="H41" s="251"/>
      <c r="I41" s="251"/>
      <c r="J41" s="251"/>
      <c r="K41" s="257"/>
      <c r="L41" s="96" t="str">
        <f t="shared" si="0"/>
        <v xml:space="preserve"> </v>
      </c>
      <c r="M41" s="130"/>
      <c r="N41" s="87"/>
      <c r="O41" s="1"/>
      <c r="P41" s="191" t="str">
        <f>ROUNDUP($A41/R41,0)*R41 &amp; "  " &amp; Formeln!$A$111</f>
        <v>0  STK</v>
      </c>
      <c r="Q41" s="191" t="str">
        <f>ROUNDUP($A41/S41,0)*S41 &amp; "  " &amp; Formeln!$A$111</f>
        <v>0  STK</v>
      </c>
      <c r="R41" s="191">
        <v>1</v>
      </c>
      <c r="S41" s="191">
        <v>1</v>
      </c>
      <c r="T41" s="68" t="s">
        <v>2280</v>
      </c>
      <c r="U41" s="68" t="s">
        <v>2281</v>
      </c>
      <c r="V41" s="68"/>
      <c r="W41" s="68" t="s">
        <v>2282</v>
      </c>
      <c r="X41" s="68"/>
      <c r="Y41" s="68"/>
      <c r="Z41" s="68"/>
      <c r="AA41" s="73">
        <f t="shared" si="3"/>
        <v>0</v>
      </c>
    </row>
    <row r="42" spans="1:35" ht="32.1" customHeight="1">
      <c r="A42" s="131"/>
      <c r="B42" s="96" t="str">
        <f>VLOOKUP("STK",Sprachindex!A:Z,Info!$O$6,FALSE)</f>
        <v>STK</v>
      </c>
      <c r="C42" s="95"/>
      <c r="D42" s="95">
        <f>IF(I42=Formeln_RI_P.10!A139,AA42,IF(I42=Formeln_RI_P.10!A140,AI42,0))</f>
        <v>0</v>
      </c>
      <c r="E42" s="250" t="str">
        <f>VLOOKUP("Quadratrohr 100 mm, Muffe",Sprachindex!A:Z,Info!$O$6,FALSE)</f>
        <v>Quadratrohr 100 mm, Muffe</v>
      </c>
      <c r="F42" s="251"/>
      <c r="G42" s="251"/>
      <c r="H42" s="101" t="str">
        <f>VLOOKUP("Dimension wählen:",Sprachindex!A:Z,Info!$O$6,FALSE)</f>
        <v>Dimension wählen:</v>
      </c>
      <c r="I42" s="252"/>
      <c r="J42" s="267"/>
      <c r="K42" s="267"/>
      <c r="L42" s="96" t="str">
        <f t="shared" si="0"/>
        <v xml:space="preserve"> </v>
      </c>
      <c r="M42" s="130"/>
      <c r="N42" s="87"/>
      <c r="O42" s="1"/>
      <c r="P42" s="191" t="e">
        <f>ROUNDUP($A42/R42,0)*R42 &amp; "  " &amp; Formeln_RI_P.10!$A$111</f>
        <v>#VALUE!</v>
      </c>
      <c r="Q42" s="191" t="str">
        <f>ROUNDUP($A42/S42,0)*S42 &amp; "  " &amp; Formeln_RI_P.10!$A$111</f>
        <v>0  STK</v>
      </c>
      <c r="R42" s="191" t="str">
        <f>IF(I42=Formeln_RI_P.10!$A$138,"",1)</f>
        <v/>
      </c>
      <c r="S42" s="191">
        <v>1</v>
      </c>
      <c r="T42" s="68" t="s">
        <v>2283</v>
      </c>
      <c r="U42" s="68" t="s">
        <v>2284</v>
      </c>
      <c r="V42" s="68" t="s">
        <v>2285</v>
      </c>
      <c r="W42" s="68" t="s">
        <v>2235</v>
      </c>
      <c r="X42" s="68" t="s">
        <v>2286</v>
      </c>
      <c r="Y42" s="68" t="s">
        <v>2287</v>
      </c>
      <c r="Z42" s="68" t="s">
        <v>2288</v>
      </c>
      <c r="AA42" s="73">
        <f t="shared" si="3"/>
        <v>0</v>
      </c>
      <c r="AB42" s="64" t="s">
        <v>2289</v>
      </c>
      <c r="AC42" s="64" t="s">
        <v>2290</v>
      </c>
      <c r="AD42" s="64" t="s">
        <v>2291</v>
      </c>
      <c r="AE42" s="64" t="s">
        <v>2292</v>
      </c>
      <c r="AF42" s="64" t="s">
        <v>2293</v>
      </c>
      <c r="AG42" s="64" t="s">
        <v>2294</v>
      </c>
      <c r="AH42" s="64" t="s">
        <v>2295</v>
      </c>
      <c r="AI42" s="73">
        <f>IF($N$21=1,AB42,IF($N$21=2,AC42,IF($N$21=3,AD42,IF($N$21=4,AE42,IF($N$21=5,AF42,IF($N$21=6,AG42,IF($N$21=7,AH42,0)))))))</f>
        <v>0</v>
      </c>
    </row>
    <row r="43" spans="1:35" ht="32.1" customHeight="1">
      <c r="A43" s="131"/>
      <c r="B43" s="96" t="str">
        <f>VLOOKUP("STK",Sprachindex!A:Z,Info!$O$6,FALSE)</f>
        <v>STK</v>
      </c>
      <c r="C43" s="95"/>
      <c r="D43" s="95">
        <v>150052</v>
      </c>
      <c r="E43" s="250" t="str">
        <f>VLOOKUP("Gummidichtung DM100",Sprachindex!A:Z,Info!$O$6,FALSE)</f>
        <v>Gummidichtung DM100</v>
      </c>
      <c r="F43" s="251"/>
      <c r="G43" s="251"/>
      <c r="H43" s="251"/>
      <c r="I43" s="251"/>
      <c r="J43" s="251"/>
      <c r="K43" s="257"/>
      <c r="L43" s="96" t="str">
        <f t="shared" si="0"/>
        <v xml:space="preserve"> </v>
      </c>
      <c r="M43" s="130"/>
      <c r="N43" s="87"/>
      <c r="O43" s="1"/>
      <c r="P43" s="191" t="str">
        <f>ROUNDUP($A43/R43,0)*R43 &amp; "  " &amp; Formeln_RI_P.10!$A$111</f>
        <v>0  STK</v>
      </c>
      <c r="Q43" s="191" t="str">
        <f>ROUNDUP($A43/S43,0)*S43 &amp; "  " &amp; Formeln_RI_P.10!$A$111</f>
        <v>0  STK</v>
      </c>
      <c r="R43" s="191">
        <v>1</v>
      </c>
      <c r="S43" s="191">
        <v>1</v>
      </c>
      <c r="T43" s="67" t="s">
        <v>2219</v>
      </c>
      <c r="U43" s="67" t="s">
        <v>75</v>
      </c>
      <c r="V43" s="67" t="s">
        <v>2220</v>
      </c>
      <c r="W43" s="67" t="s">
        <v>41</v>
      </c>
      <c r="X43" s="67" t="s">
        <v>2221</v>
      </c>
      <c r="Y43" s="232" t="s">
        <v>2222</v>
      </c>
      <c r="Z43" s="232" t="s">
        <v>2052</v>
      </c>
      <c r="AB43" s="67" t="s">
        <v>2219</v>
      </c>
      <c r="AC43" s="67" t="s">
        <v>75</v>
      </c>
      <c r="AD43" s="67" t="s">
        <v>2220</v>
      </c>
      <c r="AE43" s="67" t="s">
        <v>41</v>
      </c>
      <c r="AF43" s="67" t="s">
        <v>2221</v>
      </c>
      <c r="AG43" s="232" t="s">
        <v>2222</v>
      </c>
      <c r="AH43" s="232" t="s">
        <v>2052</v>
      </c>
    </row>
    <row r="44" spans="1:35" ht="32.1" customHeight="1">
      <c r="A44" s="131"/>
      <c r="B44" s="96" t="str">
        <f>VLOOKUP("STK",Sprachindex!A:Z,Info!$O$6,FALSE)</f>
        <v>STK</v>
      </c>
      <c r="C44" s="95"/>
      <c r="D44" s="95">
        <f>AA44</f>
        <v>0</v>
      </c>
      <c r="E44" s="250" t="str">
        <f>VLOOKUP("Quadratrohr 80 mm, Kessel",Sprachindex!A:Z,Info!$O$6,FALSE)</f>
        <v>Quadratrohr 80 mm, Kessel</v>
      </c>
      <c r="F44" s="251"/>
      <c r="G44" s="251"/>
      <c r="H44" s="251"/>
      <c r="I44" s="251"/>
      <c r="J44" s="251"/>
      <c r="K44" s="257"/>
      <c r="L44" s="96" t="str">
        <f t="shared" si="0"/>
        <v xml:space="preserve"> </v>
      </c>
      <c r="M44" s="130"/>
      <c r="N44" s="87"/>
      <c r="O44" s="1"/>
      <c r="P44" s="191" t="str">
        <f>ROUNDUP($A44/R44,0)*R44 &amp; "  " &amp; Formeln!$A$111</f>
        <v>0  STK</v>
      </c>
      <c r="Q44" s="191" t="str">
        <f>ROUNDUP($A44/S44,0)*S44 &amp; "  " &amp; Formeln!$A$111</f>
        <v>0  STK</v>
      </c>
      <c r="R44" s="191">
        <v>1</v>
      </c>
      <c r="S44" s="191">
        <v>1</v>
      </c>
      <c r="T44" s="68" t="s">
        <v>2296</v>
      </c>
      <c r="U44" s="68" t="s">
        <v>2297</v>
      </c>
      <c r="V44" s="68"/>
      <c r="W44" s="68" t="s">
        <v>2298</v>
      </c>
      <c r="X44" s="68"/>
      <c r="Y44" s="68"/>
      <c r="Z44" s="68"/>
      <c r="AA44" s="73">
        <f t="shared" ref="AA44" si="4">IF($N$21=1,T44,IF($N$21=2,U44,IF($N$21=3,V44,IF($N$21=4,W44,IF($N$21=5,X44,IF($N$21=6,Y44,IF($N$21=7,Z44,0)))))))</f>
        <v>0</v>
      </c>
    </row>
    <row r="45" spans="1:35" ht="32.1" customHeight="1">
      <c r="A45" s="131"/>
      <c r="B45" s="96" t="str">
        <f>VLOOKUP("STK",Sprachindex!A:Z,Info!$O$6,FALSE)</f>
        <v>STK</v>
      </c>
      <c r="C45" s="95"/>
      <c r="D45" s="95">
        <f>IF(I45=Formeln_RI_P.10!A142,AA45,IF(I45=Formeln_RI_P.10!A143,AI45,0))</f>
        <v>0</v>
      </c>
      <c r="E45" s="250" t="str">
        <f>VLOOKUP("Quadratrohr 100 mm, Kessel",Sprachindex!A:Z,Info!$O$6,FALSE)</f>
        <v>Quadratrohr 100 mm, Kessel</v>
      </c>
      <c r="F45" s="251"/>
      <c r="G45" s="251"/>
      <c r="H45" s="101" t="str">
        <f>VLOOKUP("Dimension wählen:",Sprachindex!A:Z,Info!$O$6,FALSE)</f>
        <v>Dimension wählen:</v>
      </c>
      <c r="I45" s="252"/>
      <c r="J45" s="267"/>
      <c r="K45" s="267"/>
      <c r="L45" s="96" t="str">
        <f t="shared" si="0"/>
        <v xml:space="preserve"> </v>
      </c>
      <c r="M45" s="130"/>
      <c r="N45" s="87"/>
      <c r="O45" s="1"/>
      <c r="P45" s="191" t="e">
        <f>ROUNDUP($A45/R45,0)*R45 &amp; "  " &amp; Formeln_RI_P.10!$A$111</f>
        <v>#VALUE!</v>
      </c>
      <c r="Q45" s="191" t="str">
        <f>ROUNDUP($A45/S45,0)*S45 &amp; "  " &amp; Formeln_RI_P.10!$A$111</f>
        <v>0  STK</v>
      </c>
      <c r="R45" s="191" t="str">
        <f>IF(I45=Formeln_RI_P.10!$A$138,"",1)</f>
        <v/>
      </c>
      <c r="S45" s="191">
        <v>1</v>
      </c>
      <c r="T45" s="68" t="s">
        <v>2299</v>
      </c>
      <c r="U45" s="68" t="s">
        <v>2300</v>
      </c>
      <c r="V45" s="68" t="s">
        <v>2301</v>
      </c>
      <c r="W45" s="68" t="s">
        <v>2302</v>
      </c>
      <c r="X45" s="68" t="s">
        <v>2303</v>
      </c>
      <c r="Y45" s="68" t="s">
        <v>2304</v>
      </c>
      <c r="Z45" s="68" t="s">
        <v>2305</v>
      </c>
      <c r="AA45" s="73">
        <f t="shared" ref="AA45:AA50" si="5">IF($N$21=1,T45,IF($N$21=2,U45,IF($N$21=3,V45,IF($N$21=4,W45,IF($N$21=5,X45,IF($N$21=6,Y45,IF($N$21=7,Z45,0)))))))</f>
        <v>0</v>
      </c>
      <c r="AB45" s="64" t="s">
        <v>2306</v>
      </c>
      <c r="AC45" s="64" t="s">
        <v>2307</v>
      </c>
      <c r="AD45" s="64" t="s">
        <v>2308</v>
      </c>
      <c r="AE45" s="64" t="s">
        <v>2309</v>
      </c>
      <c r="AF45" s="64" t="s">
        <v>2310</v>
      </c>
      <c r="AG45" s="64" t="s">
        <v>2311</v>
      </c>
      <c r="AH45" s="64" t="s">
        <v>2312</v>
      </c>
      <c r="AI45" s="73">
        <f>IF($N$21=1,AB45,IF($N$21=2,AC45,IF($N$21=3,AD45,IF($N$21=4,AE45,IF($N$21=5,AF45,IF($N$21=6,AG45,IF($N$21=7,AH45,0)))))))</f>
        <v>0</v>
      </c>
    </row>
    <row r="46" spans="1:35" ht="32.1" customHeight="1">
      <c r="A46" s="131"/>
      <c r="B46" s="96" t="str">
        <f>VLOOKUP("STK",Sprachindex!A:Z,Info!$O$6,FALSE)</f>
        <v>STK</v>
      </c>
      <c r="C46" s="95"/>
      <c r="D46" s="95">
        <f>AA46</f>
        <v>0</v>
      </c>
      <c r="E46" s="250" t="str">
        <f>VLOOKUP("Quadratrohr 80 mm, Speiereinmündung",Sprachindex!A:Z,Info!$O$6,FALSE)</f>
        <v>Quadratrohr 80 mm, Speiereinmündung</v>
      </c>
      <c r="F46" s="251"/>
      <c r="G46" s="251"/>
      <c r="H46" s="251"/>
      <c r="I46" s="251"/>
      <c r="J46" s="251"/>
      <c r="K46" s="257"/>
      <c r="L46" s="96" t="str">
        <f t="shared" si="0"/>
        <v xml:space="preserve"> </v>
      </c>
      <c r="M46" s="130"/>
      <c r="N46" s="87"/>
      <c r="O46" s="1"/>
      <c r="P46" s="191" t="str">
        <f>ROUNDUP($A46/R46,0)*R46 &amp; "  " &amp; Formeln!$A$111</f>
        <v>0  STK</v>
      </c>
      <c r="Q46" s="191" t="str">
        <f>ROUNDUP($A46/S46,0)*S46 &amp; "  " &amp; Formeln!$A$111</f>
        <v>0  STK</v>
      </c>
      <c r="R46" s="191">
        <v>1</v>
      </c>
      <c r="S46" s="191">
        <v>1</v>
      </c>
      <c r="T46" s="68" t="s">
        <v>2313</v>
      </c>
      <c r="U46" s="68" t="s">
        <v>2314</v>
      </c>
      <c r="V46" s="68"/>
      <c r="W46" s="68" t="s">
        <v>2315</v>
      </c>
      <c r="X46" s="68"/>
      <c r="Y46" s="68"/>
      <c r="Z46" s="68"/>
      <c r="AA46" s="73">
        <f t="shared" si="5"/>
        <v>0</v>
      </c>
    </row>
    <row r="47" spans="1:35" ht="32.1" customHeight="1">
      <c r="A47" s="131"/>
      <c r="B47" s="96" t="str">
        <f>VLOOKUP("STK",Sprachindex!A:Z,Info!$O$6,FALSE)</f>
        <v>STK</v>
      </c>
      <c r="C47" s="95"/>
      <c r="D47" s="95">
        <f>AA47</f>
        <v>0</v>
      </c>
      <c r="E47" s="250" t="str">
        <f>VLOOKUP("Quadratrohr 100 mm, Speiereinmündung",Sprachindex!A:Z,Info!$O$6,FALSE)</f>
        <v>Quadratrohr 100 mm, Speiereinmündung</v>
      </c>
      <c r="F47" s="251"/>
      <c r="G47" s="251"/>
      <c r="H47" s="251"/>
      <c r="I47" s="251"/>
      <c r="J47" s="251"/>
      <c r="K47" s="257"/>
      <c r="L47" s="96" t="str">
        <f t="shared" si="0"/>
        <v xml:space="preserve"> </v>
      </c>
      <c r="M47" s="130"/>
      <c r="N47" s="87"/>
      <c r="O47" s="1"/>
      <c r="P47" s="191" t="str">
        <f>ROUNDUP($A47/R47,0)*R47 &amp; "  " &amp; Formeln_RI_P.10!$A$111</f>
        <v>0  STK</v>
      </c>
      <c r="Q47" s="191" t="str">
        <f>ROUNDUP($A47/S47,0)*S47 &amp; "  " &amp; Formeln_RI_P.10!$A$111</f>
        <v>0  STK</v>
      </c>
      <c r="R47" s="191">
        <v>1</v>
      </c>
      <c r="S47" s="191">
        <v>1</v>
      </c>
      <c r="T47" s="68" t="s">
        <v>2316</v>
      </c>
      <c r="U47" s="68" t="s">
        <v>2317</v>
      </c>
      <c r="V47" s="68" t="s">
        <v>2318</v>
      </c>
      <c r="W47" s="68" t="s">
        <v>2319</v>
      </c>
      <c r="X47" s="68" t="s">
        <v>2320</v>
      </c>
      <c r="Y47" s="68" t="s">
        <v>2321</v>
      </c>
      <c r="Z47" s="68" t="s">
        <v>2322</v>
      </c>
      <c r="AA47" s="73">
        <f t="shared" si="5"/>
        <v>0</v>
      </c>
    </row>
    <row r="48" spans="1:35" ht="32.1" customHeight="1">
      <c r="A48" s="131"/>
      <c r="B48" s="96" t="str">
        <f>VLOOKUP("STK",Sprachindex!A:Z,Info!$O$6,FALSE)</f>
        <v>STK</v>
      </c>
      <c r="C48" s="95"/>
      <c r="D48" s="95">
        <f>AA48</f>
        <v>0</v>
      </c>
      <c r="E48" s="250" t="str">
        <f>VLOOKUP("Quadratrohr 80 mm, mit Reinigungsöffnung",Sprachindex!A:Z,Info!$O$6,FALSE)</f>
        <v>Quadratrohr 80 mm, mit Reinigungsöffnung</v>
      </c>
      <c r="F48" s="251"/>
      <c r="G48" s="251"/>
      <c r="H48" s="251"/>
      <c r="I48" s="251"/>
      <c r="J48" s="251"/>
      <c r="K48" s="257"/>
      <c r="L48" s="96" t="str">
        <f t="shared" si="0"/>
        <v xml:space="preserve"> </v>
      </c>
      <c r="M48" s="130"/>
      <c r="N48" s="87"/>
      <c r="O48" s="1"/>
      <c r="P48" s="191" t="str">
        <f>ROUNDUP($A48/R48,0)*R48 &amp; "  " &amp; Formeln!$A$111</f>
        <v>0  STK</v>
      </c>
      <c r="Q48" s="191" t="str">
        <f>ROUNDUP($A48/S48,0)*S48 &amp; "  " &amp; Formeln!$A$111</f>
        <v>0  STK</v>
      </c>
      <c r="R48" s="191">
        <v>1</v>
      </c>
      <c r="S48" s="191">
        <v>1</v>
      </c>
      <c r="T48" s="68" t="s">
        <v>2323</v>
      </c>
      <c r="U48" s="68" t="s">
        <v>2324</v>
      </c>
      <c r="V48" s="68"/>
      <c r="W48" s="68" t="s">
        <v>2325</v>
      </c>
      <c r="X48" s="68"/>
      <c r="Y48" s="68"/>
      <c r="Z48" s="68"/>
      <c r="AA48" s="73">
        <f t="shared" si="5"/>
        <v>0</v>
      </c>
    </row>
    <row r="49" spans="1:138" ht="32.1" customHeight="1">
      <c r="A49" s="131"/>
      <c r="B49" s="96" t="str">
        <f>VLOOKUP("STK",Sprachindex!A:Z,Info!$O$6,FALSE)</f>
        <v>STK</v>
      </c>
      <c r="C49" s="95"/>
      <c r="D49" s="95">
        <f>AA49</f>
        <v>0</v>
      </c>
      <c r="E49" s="250" t="str">
        <f>VLOOKUP("Quadratrohr 100 mm, mit Reinigungsöffnung",Sprachindex!A:Z,Info!$O$6,FALSE)</f>
        <v>Quadratrohr 100 mm, mit Reinigungsöffnung</v>
      </c>
      <c r="F49" s="251"/>
      <c r="G49" s="251"/>
      <c r="H49" s="251"/>
      <c r="I49" s="251"/>
      <c r="J49" s="251"/>
      <c r="K49" s="257"/>
      <c r="L49" s="96" t="str">
        <f t="shared" si="0"/>
        <v xml:space="preserve"> </v>
      </c>
      <c r="M49" s="130"/>
      <c r="N49" s="87"/>
      <c r="O49" s="1"/>
      <c r="P49" s="191" t="str">
        <f>ROUNDUP($A49/R49,0)*R49 &amp; "  " &amp; Formeln_RI_P.10!$A$111</f>
        <v>0  STK</v>
      </c>
      <c r="Q49" s="191" t="str">
        <f>ROUNDUP($A49/S49,0)*S49 &amp; "  " &amp; Formeln_RI_P.10!$A$111</f>
        <v>0  STK</v>
      </c>
      <c r="R49" s="191">
        <v>1</v>
      </c>
      <c r="S49" s="191">
        <v>1</v>
      </c>
      <c r="T49" s="68" t="s">
        <v>2326</v>
      </c>
      <c r="U49" s="68" t="s">
        <v>2327</v>
      </c>
      <c r="V49" s="68" t="s">
        <v>1095</v>
      </c>
      <c r="W49" s="68" t="s">
        <v>2328</v>
      </c>
      <c r="X49" s="68" t="s">
        <v>2329</v>
      </c>
      <c r="Y49" s="68" t="s">
        <v>2330</v>
      </c>
      <c r="Z49" s="68" t="s">
        <v>2331</v>
      </c>
      <c r="AA49" s="73">
        <f t="shared" si="5"/>
        <v>0</v>
      </c>
    </row>
    <row r="50" spans="1:138" ht="32.1" customHeight="1">
      <c r="A50" s="131"/>
      <c r="B50" s="96" t="str">
        <f>VLOOKUP("STK",Sprachindex!A:Z,Info!$O$6,FALSE)</f>
        <v>STK</v>
      </c>
      <c r="C50" s="95"/>
      <c r="D50" s="95">
        <f>IF($N$21=1,V50,IF($N$21=2,T50,IF($N$21=3,AC50,IF($N$21=4,Z50,IF($N$21=5,AA50,IF($N$21=6,AB50,IF($N$21=7,W50,IF($N$21=8,AD50,IF($N$21=9,X50,IF($N$21=10,AE50,IF($N$21=11,Y50,IF($N$21=12,U50,0))))))))))))</f>
        <v>0</v>
      </c>
      <c r="E50" s="250" t="str">
        <f>VLOOKUP("Wassersammler für Quadratrohr 100 mm",Sprachindex!A:Z,Info!$O$6,FALSE)</f>
        <v>Wassersammler für Quadratrohr 100 mm</v>
      </c>
      <c r="F50" s="251"/>
      <c r="G50" s="251"/>
      <c r="H50" s="251"/>
      <c r="I50" s="251"/>
      <c r="J50" s="251"/>
      <c r="K50" s="257"/>
      <c r="L50" s="96" t="str">
        <f t="shared" si="0"/>
        <v xml:space="preserve"> </v>
      </c>
      <c r="M50" s="130"/>
      <c r="N50" s="87"/>
      <c r="O50" s="1"/>
      <c r="P50" s="191" t="str">
        <f>ROUNDUP($A50/R50,0)*R50 &amp; "  " &amp; Formeln!$A$111</f>
        <v>0  STK</v>
      </c>
      <c r="Q50" s="191" t="str">
        <f>ROUNDUP($A50/S50,0)*S50 &amp; "  " &amp; Formeln!$A$111</f>
        <v>0  STK</v>
      </c>
      <c r="R50" s="191">
        <v>1</v>
      </c>
      <c r="S50" s="191">
        <v>1</v>
      </c>
      <c r="T50" s="68" t="s">
        <v>2332</v>
      </c>
      <c r="U50" s="68" t="s">
        <v>2333</v>
      </c>
      <c r="V50" s="68" t="s">
        <v>2333</v>
      </c>
      <c r="W50" s="68" t="s">
        <v>2334</v>
      </c>
      <c r="X50" s="68" t="s">
        <v>2335</v>
      </c>
      <c r="Y50" s="68" t="s">
        <v>2336</v>
      </c>
      <c r="Z50" s="68" t="s">
        <v>2337</v>
      </c>
      <c r="AA50" s="73">
        <f t="shared" si="5"/>
        <v>0</v>
      </c>
    </row>
    <row r="51" spans="1:138" ht="32.1" customHeight="1">
      <c r="A51" s="131"/>
      <c r="B51" s="96" t="str">
        <f>VLOOKUP("STK",Sprachindex!A:Z,Info!$O$6,FALSE)</f>
        <v>STK</v>
      </c>
      <c r="C51" s="95"/>
      <c r="D51" s="95">
        <f>AA51</f>
        <v>0</v>
      </c>
      <c r="E51" s="250" t="str">
        <f>VLOOKUP("Patentniete",Sprachindex!A:Z,Info!$O$6,FALSE)</f>
        <v>Patentniete</v>
      </c>
      <c r="F51" s="251"/>
      <c r="G51" s="251"/>
      <c r="H51" s="251"/>
      <c r="I51" s="251"/>
      <c r="J51" s="307" t="s">
        <v>2053</v>
      </c>
      <c r="K51" s="308"/>
      <c r="L51" s="96" t="str">
        <f t="shared" ref="L51" si="6">IF(OR(A51="",R51="",S51="")," ",IF($N$11=1,$P51,IF($N$11=2,Q51,0)))</f>
        <v xml:space="preserve"> </v>
      </c>
      <c r="M51" s="130"/>
      <c r="N51" s="87"/>
      <c r="O51" s="1"/>
      <c r="P51" s="191" t="str">
        <f>ROUNDUP($A51/R51,0)*R51 &amp; "  " &amp; Formeln!$A$111</f>
        <v>0  STK</v>
      </c>
      <c r="Q51" s="191" t="str">
        <f>ROUNDUP($A51/S51,0)*S51 &amp; "  " &amp; Formeln!$A$111</f>
        <v>0  STK</v>
      </c>
      <c r="R51" s="191">
        <f>IF($J51=Formeln!$A$264,1000,IF($J51=Formeln!$A$265,500,""))</f>
        <v>1000</v>
      </c>
      <c r="S51" s="191">
        <v>1</v>
      </c>
      <c r="T51" s="68" t="s">
        <v>2054</v>
      </c>
      <c r="U51" s="68" t="s">
        <v>2055</v>
      </c>
      <c r="V51" s="68" t="s">
        <v>2056</v>
      </c>
      <c r="W51" s="68" t="s">
        <v>2057</v>
      </c>
      <c r="X51" s="68" t="s">
        <v>2058</v>
      </c>
      <c r="Y51" s="68" t="s">
        <v>2059</v>
      </c>
      <c r="Z51" s="68" t="s">
        <v>2060</v>
      </c>
      <c r="AA51" s="73">
        <f>IF($N$21=1,T51,IF($N$21=2,U51,IF($N$21=3,V51,IF($N$21=4,W51,IF($N$21=5,X51,IF($N$21=6,Y51,IF($N$21=7,Z51,0)))))))</f>
        <v>0</v>
      </c>
    </row>
    <row r="52" spans="1:138" ht="32.1" customHeight="1">
      <c r="A52" s="131"/>
      <c r="B52" s="96" t="str">
        <f>VLOOKUP("STK",Sprachindex!A:Z,Info!$O$6,FALSE)</f>
        <v>STK</v>
      </c>
      <c r="C52" s="95"/>
      <c r="D52" s="95">
        <f>IF(J52=Formeln_RI_P.10!A277,345020,IF(J52=Formeln_RI_P.10!A278,345022,IF(J52=Formeln_RI_P.10!A246,345022,0)))</f>
        <v>0</v>
      </c>
      <c r="E52" s="250" t="str">
        <f>VLOOKUP("Rohrschellendorn",Sprachindex!A:Z,Info!$O$6,FALSE)</f>
        <v>Rohrschellendorn</v>
      </c>
      <c r="F52" s="251"/>
      <c r="G52" s="251"/>
      <c r="H52" s="251"/>
      <c r="I52" s="101" t="str">
        <f>VLOOKUP("Länge wählen:",Sprachindex!A:Z,Info!$O$6,FALSE)</f>
        <v>Länge wählen:</v>
      </c>
      <c r="J52" s="301"/>
      <c r="K52" s="309"/>
      <c r="L52" s="96" t="str">
        <f t="shared" si="0"/>
        <v xml:space="preserve"> </v>
      </c>
      <c r="M52" s="130"/>
      <c r="N52" s="87"/>
      <c r="O52" s="1"/>
      <c r="P52" s="191" t="e">
        <f>ROUNDUP($A52/R52,0)*R52 &amp; "  " &amp; Formeln_RI_P.10!$A$111</f>
        <v>#VALUE!</v>
      </c>
      <c r="Q52" s="191" t="str">
        <f>ROUNDUP($A52/S52,0)*S52 &amp; "  " &amp; Formeln_RI_P.10!$A$111</f>
        <v>0  STK</v>
      </c>
      <c r="R52" s="191" t="str">
        <f>IF(J52=Formeln_RI_P.10!$A$276,"",25)</f>
        <v/>
      </c>
      <c r="S52" s="191">
        <v>1</v>
      </c>
    </row>
    <row r="53" spans="1:138" ht="32.1" customHeight="1">
      <c r="A53" s="131"/>
      <c r="B53" s="96" t="str">
        <f>VLOOKUP("STK",Sprachindex!A:Z,Info!$O$6,FALSE)</f>
        <v>STK</v>
      </c>
      <c r="C53" s="95"/>
      <c r="D53" s="95">
        <f>IF(J53=Formeln_RI_P.10!A145,345030,IF(J53=Formeln_RI_P.10!A146,345031,IF(J53=Formeln_RI_P.10!A147,345032,0)))</f>
        <v>0</v>
      </c>
      <c r="E53" s="250" t="str">
        <f>VLOOKUP("Rohrschellendorn, für Dübel ",Sprachindex!A:Z,Info!$O$6,FALSE)</f>
        <v xml:space="preserve">Rohrschellendorn, für Dübel </v>
      </c>
      <c r="F53" s="251"/>
      <c r="G53" s="251"/>
      <c r="H53" s="251"/>
      <c r="I53" s="101" t="str">
        <f>VLOOKUP("Länge wählen:",Sprachindex!A:Z,Info!$O$6,FALSE)</f>
        <v>Länge wählen:</v>
      </c>
      <c r="J53" s="301"/>
      <c r="K53" s="309"/>
      <c r="L53" s="96" t="str">
        <f t="shared" si="0"/>
        <v xml:space="preserve"> </v>
      </c>
      <c r="M53" s="130"/>
      <c r="N53" s="87"/>
      <c r="O53" s="1"/>
      <c r="P53" s="191" t="e">
        <f>ROUNDUP($A53/R53,0)*R53 &amp; "  " &amp; Formeln_RI_P.10!$A$111</f>
        <v>#VALUE!</v>
      </c>
      <c r="Q53" s="191" t="str">
        <f>ROUNDUP($A53/S53,0)*S53 &amp; "  " &amp; Formeln_RI_P.10!$A$111</f>
        <v>0  STK</v>
      </c>
      <c r="R53" s="191" t="str">
        <f>IF(J53=Formeln_RI_P.10!$A$144,"",25)</f>
        <v/>
      </c>
      <c r="S53" s="191">
        <v>1</v>
      </c>
    </row>
    <row r="54" spans="1:138" ht="32.1" customHeight="1">
      <c r="A54" s="131"/>
      <c r="B54" s="96" t="str">
        <f>VLOOKUP("STK",Sprachindex!A:Z,Info!$O$6,FALSE)</f>
        <v>STK</v>
      </c>
      <c r="C54" s="95"/>
      <c r="D54" s="95">
        <f>IF(J54=Formeln_RI_P.10!A273,345040,IF(J54=Formeln_RI_P.10!A274,345041,IF(J54=Formeln_RI_P.10!A275,345042,0)))</f>
        <v>0</v>
      </c>
      <c r="E54" s="250" t="str">
        <f>VLOOKUP("WDVS-Rohrschellendübel Ø 10",Sprachindex!A:Z,Info!$O$6,FALSE)</f>
        <v>WDVS-Rohrschellendübel Ø 10</v>
      </c>
      <c r="F54" s="251"/>
      <c r="G54" s="251"/>
      <c r="H54" s="251"/>
      <c r="I54" s="101" t="str">
        <f>VLOOKUP("Länge wählen:",Sprachindex!A:Z,Info!$O$6,FALSE)</f>
        <v>Länge wählen:</v>
      </c>
      <c r="J54" s="301"/>
      <c r="K54" s="309"/>
      <c r="L54" s="96" t="str">
        <f t="shared" si="0"/>
        <v xml:space="preserve"> </v>
      </c>
      <c r="M54" s="130"/>
      <c r="N54" s="87"/>
      <c r="O54" s="1"/>
      <c r="P54" s="191" t="e">
        <f>ROUNDUP($A54/R54,0)*R54 &amp; "  " &amp; Formeln_RI_P.10!$A$111</f>
        <v>#VALUE!</v>
      </c>
      <c r="Q54" s="191" t="str">
        <f>ROUNDUP($A54/S54,0)*S54 &amp; "  " &amp; Formeln_RI_P.10!$A$111</f>
        <v>0  STK</v>
      </c>
      <c r="R54" s="191" t="str">
        <f>IF(J54=Formeln_RI_P.10!$A$272,"",25)</f>
        <v/>
      </c>
      <c r="S54" s="191">
        <v>1</v>
      </c>
    </row>
    <row r="55" spans="1:138" ht="32.1" customHeight="1">
      <c r="A55" s="131"/>
      <c r="B55" s="96" t="str">
        <f>VLOOKUP("STK",Sprachindex!A:Z,Info!$O$6,FALSE)</f>
        <v>STK</v>
      </c>
      <c r="C55" s="95"/>
      <c r="D55" s="95">
        <v>345015</v>
      </c>
      <c r="E55" s="250" t="str">
        <f>VLOOKUP("M10 Gewindedorn",Sprachindex!A:Z,Info!$O$6,FALSE)</f>
        <v>M10 Gewindedorn</v>
      </c>
      <c r="F55" s="251"/>
      <c r="G55" s="251"/>
      <c r="H55" s="251"/>
      <c r="I55" s="251"/>
      <c r="J55" s="307" t="str">
        <f>VLOOKUP("195 mm lang",Sprachindex!A:Z,Info!$O$6,FALSE)</f>
        <v>195 mm lang</v>
      </c>
      <c r="K55" s="308"/>
      <c r="L55" s="96" t="str">
        <f t="shared" si="0"/>
        <v xml:space="preserve"> </v>
      </c>
      <c r="M55" s="130"/>
      <c r="N55" s="87"/>
      <c r="O55" s="1"/>
      <c r="P55" s="191" t="str">
        <f>ROUNDUP($A55/R55,0)*R55 &amp; "  " &amp; Formeln_RI_P.10!$A$111</f>
        <v>0  STK</v>
      </c>
      <c r="Q55" s="191" t="str">
        <f>ROUNDUP($A55/S55,0)*S55 &amp; "  " &amp; Formeln_RI_P.10!$A$111</f>
        <v>0  STK</v>
      </c>
      <c r="R55" s="191">
        <v>100</v>
      </c>
      <c r="S55" s="191">
        <v>1</v>
      </c>
    </row>
    <row r="56" spans="1:138" ht="32.1" customHeight="1">
      <c r="A56" s="131"/>
      <c r="B56" s="96" t="str">
        <f>VLOOKUP("STK",Sprachindex!A:Z,Info!$O$6,FALSE)</f>
        <v>STK</v>
      </c>
      <c r="C56" s="95"/>
      <c r="D56" s="95">
        <f>IF(J56=Formeln_RI_P.10!A152,420305,IF(J56=Formeln_RI_P.10!A153,420306,0))</f>
        <v>0</v>
      </c>
      <c r="E56" s="250" t="str">
        <f>VLOOKUP("Rohrschellenhalter, f.WDVS ",Sprachindex!A:Z,Info!$O$6,FALSE)</f>
        <v xml:space="preserve">Rohrschellenhalter, f.WDVS </v>
      </c>
      <c r="F56" s="251"/>
      <c r="G56" s="251"/>
      <c r="H56" s="251"/>
      <c r="I56" s="101" t="str">
        <f>VLOOKUP("Länge wählen:",Sprachindex!A:Z,Info!$O$6,FALSE)</f>
        <v>Länge wählen:</v>
      </c>
      <c r="J56" s="301"/>
      <c r="K56" s="309"/>
      <c r="L56" s="96" t="str">
        <f t="shared" si="0"/>
        <v xml:space="preserve"> </v>
      </c>
      <c r="M56" s="130"/>
      <c r="N56" s="87"/>
      <c r="O56" s="1"/>
      <c r="P56" s="191" t="e">
        <f>ROUNDUP($A56/R56,0)*R56 &amp; "  " &amp; Formeln_RI_P.10!$A$111</f>
        <v>#VALUE!</v>
      </c>
      <c r="Q56" s="191" t="str">
        <f>ROUNDUP($A56/S56,0)*S56 &amp; "  " &amp; Formeln_RI_P.10!$A$111</f>
        <v>0  STK</v>
      </c>
      <c r="R56" s="191" t="str">
        <f>IF(J56=Formeln_RI_P.10!$A$151,"",4)</f>
        <v/>
      </c>
      <c r="S56" s="191">
        <v>1</v>
      </c>
      <c r="T56" s="67" t="s">
        <v>2219</v>
      </c>
      <c r="U56" s="67" t="s">
        <v>75</v>
      </c>
      <c r="V56" s="67" t="s">
        <v>2220</v>
      </c>
      <c r="W56" s="67" t="s">
        <v>41</v>
      </c>
      <c r="X56" s="67" t="s">
        <v>2221</v>
      </c>
      <c r="Y56" s="232" t="s">
        <v>2222</v>
      </c>
      <c r="Z56" s="232" t="s">
        <v>2052</v>
      </c>
      <c r="AA56" s="73">
        <f>IF($N$21=1,T56,IF($N$21=2,U56,IF($N$21=3,V56,0)))</f>
        <v>0</v>
      </c>
      <c r="AB56" s="67" t="s">
        <v>2219</v>
      </c>
      <c r="AC56" s="67" t="s">
        <v>75</v>
      </c>
      <c r="AD56" s="67" t="s">
        <v>2220</v>
      </c>
      <c r="AE56" s="67" t="s">
        <v>41</v>
      </c>
      <c r="AF56" s="67" t="s">
        <v>2221</v>
      </c>
      <c r="AG56" s="232" t="s">
        <v>2222</v>
      </c>
      <c r="AH56" s="232" t="s">
        <v>2052</v>
      </c>
    </row>
    <row r="57" spans="1:138" ht="32.1" customHeight="1">
      <c r="A57" s="131"/>
      <c r="B57" s="96" t="str">
        <f>VLOOKUP("STK",Sprachindex!A:Z,Info!$O$6,FALSE)</f>
        <v>STK</v>
      </c>
      <c r="C57" s="95"/>
      <c r="D57" s="95">
        <f>AA57</f>
        <v>0</v>
      </c>
      <c r="E57" s="250" t="str">
        <f>VLOOKUP("Wandmontageplatte",Sprachindex!A:Z,Info!$O$6,FALSE)</f>
        <v>Wandmontageplatte</v>
      </c>
      <c r="F57" s="251"/>
      <c r="G57" s="251"/>
      <c r="H57" s="251"/>
      <c r="I57" s="251"/>
      <c r="J57" s="307"/>
      <c r="K57" s="308"/>
      <c r="L57" s="96" t="str">
        <f t="shared" si="0"/>
        <v xml:space="preserve"> </v>
      </c>
      <c r="M57" s="130"/>
      <c r="N57" s="87"/>
      <c r="O57" s="1"/>
      <c r="P57" s="191" t="str">
        <f>ROUNDUP($A57/R57,0)*R57 &amp; "  " &amp; Formeln_RI_P.10!$A$111</f>
        <v>0  STK</v>
      </c>
      <c r="Q57" s="191" t="str">
        <f>ROUNDUP($A57/S57,0)*S57 &amp; "  " &amp; Formeln_RI_P.10!$A$111</f>
        <v>0  STK</v>
      </c>
      <c r="R57" s="191">
        <v>6</v>
      </c>
      <c r="S57" s="191">
        <v>1</v>
      </c>
      <c r="T57" s="64" t="s">
        <v>1664</v>
      </c>
      <c r="U57" s="64" t="s">
        <v>1665</v>
      </c>
      <c r="V57" s="64" t="s">
        <v>2338</v>
      </c>
      <c r="W57" s="64" t="s">
        <v>1667</v>
      </c>
      <c r="X57" s="64" t="s">
        <v>1668</v>
      </c>
      <c r="Y57" s="64" t="s">
        <v>1669</v>
      </c>
      <c r="Z57" s="64" t="s">
        <v>1670</v>
      </c>
      <c r="AA57" s="73">
        <f>IF($N$21=1,T57,IF($N$21=2,U57,IF($N$21=3,V57,0)))</f>
        <v>0</v>
      </c>
      <c r="AI57" s="73">
        <f>IF($N$21=1,AB57,IF($N$21=2,AC57,IF($N$21=3,AD57,0)))</f>
        <v>0</v>
      </c>
    </row>
    <row r="58" spans="1:138" ht="32.1" customHeight="1">
      <c r="A58" s="131"/>
      <c r="B58" s="96" t="str">
        <f>VLOOKUP("STK",Sprachindex!A:Z,Info!$O$6,FALSE)</f>
        <v>STK</v>
      </c>
      <c r="C58" s="95"/>
      <c r="D58" s="95">
        <v>529502</v>
      </c>
      <c r="E58" s="250" t="str">
        <f>VLOOKUP("Abdeckkappe für Rohrschellendorn",Sprachindex!A:Z,Info!$O$6,FALSE)</f>
        <v>Abdeckkappe für Rohrschellendorn</v>
      </c>
      <c r="F58" s="251"/>
      <c r="G58" s="251"/>
      <c r="H58" s="251"/>
      <c r="I58" s="251"/>
      <c r="J58" s="307"/>
      <c r="K58" s="308"/>
      <c r="L58" s="96" t="str">
        <f t="shared" si="0"/>
        <v xml:space="preserve"> </v>
      </c>
      <c r="M58" s="130"/>
      <c r="N58" s="87"/>
      <c r="O58" s="1"/>
      <c r="P58" s="191" t="str">
        <f>ROUNDUP($A58/R58,0)*R58 &amp; "  " &amp; Formeln_RI_P.10!$A$111</f>
        <v>0  STK</v>
      </c>
      <c r="Q58" s="191" t="str">
        <f>ROUNDUP($A58/S58,0)*S58 &amp; "  " &amp; Formeln_RI_P.10!$A$111</f>
        <v>0  STK</v>
      </c>
      <c r="R58" s="208">
        <v>25</v>
      </c>
      <c r="S58" s="208">
        <v>1</v>
      </c>
    </row>
    <row r="59" spans="1:138" ht="32.1" customHeight="1">
      <c r="A59" s="131"/>
      <c r="B59" s="96" t="str">
        <f>VLOOKUP("STK",Sprachindex!A:Z,Info!$O$6,FALSE)</f>
        <v>STK</v>
      </c>
      <c r="C59" s="95"/>
      <c r="D59" s="95">
        <f>AA59</f>
        <v>0</v>
      </c>
      <c r="E59" s="250" t="str">
        <f>VLOOKUP("Hydrolack",Sprachindex!A:Z,Info!$O$6,FALSE)</f>
        <v>Hydrolack</v>
      </c>
      <c r="F59" s="251"/>
      <c r="G59" s="251"/>
      <c r="H59" s="251"/>
      <c r="I59" s="251"/>
      <c r="J59" s="301" t="s">
        <v>2081</v>
      </c>
      <c r="K59" s="302"/>
      <c r="L59" s="96" t="str">
        <f>IF(OR(A59="",R59="",S59="",H59="")," ",IF($N$11=1,P59,IF($N$11=2,Q59,0)))</f>
        <v xml:space="preserve"> </v>
      </c>
      <c r="M59" s="130"/>
      <c r="N59" s="87"/>
      <c r="O59" s="1"/>
      <c r="P59" s="191" t="str">
        <f>ROUNDUP($A59/R59,0)*R59 &amp; "  " &amp; Formeln_RI_P.10!$A$111</f>
        <v>0  STK</v>
      </c>
      <c r="Q59" s="191" t="str">
        <f>ROUNDUP($A59/S59,0)*S59 &amp; "  " &amp; Formeln_RI_P.10!$A$111</f>
        <v>0  STK</v>
      </c>
      <c r="R59" s="191">
        <v>6</v>
      </c>
      <c r="S59" s="191">
        <v>1</v>
      </c>
      <c r="T59" s="1">
        <v>430020</v>
      </c>
      <c r="U59" s="1">
        <v>430022</v>
      </c>
      <c r="V59" s="1">
        <v>430023</v>
      </c>
      <c r="W59" s="1">
        <v>430019</v>
      </c>
      <c r="X59" s="1">
        <v>430008</v>
      </c>
      <c r="Y59" s="1">
        <v>430031</v>
      </c>
      <c r="Z59" s="1">
        <v>430024</v>
      </c>
      <c r="AA59" s="73">
        <f t="shared" ref="AA59:AA61" si="7">IF($N$21=1,T59,IF($N$21=2,U59,IF($N$21=3,V59,0)))</f>
        <v>0</v>
      </c>
      <c r="DC59" s="64"/>
      <c r="DD59" s="64" t="s">
        <v>2085</v>
      </c>
      <c r="DE59" s="64" t="s">
        <v>2082</v>
      </c>
      <c r="DF59" s="64" t="s">
        <v>2089</v>
      </c>
      <c r="DG59" s="64" t="s">
        <v>2083</v>
      </c>
      <c r="DH59" s="64" t="s">
        <v>2086</v>
      </c>
      <c r="DI59" s="64" t="s">
        <v>2090</v>
      </c>
      <c r="DJ59" s="64" t="s">
        <v>2091</v>
      </c>
      <c r="DK59" s="64" t="s">
        <v>2092</v>
      </c>
      <c r="DL59" s="64"/>
      <c r="DM59" s="64" t="s">
        <v>2087</v>
      </c>
      <c r="DN59" s="64" t="s">
        <v>2084</v>
      </c>
      <c r="DO59" s="64" t="s">
        <v>2088</v>
      </c>
      <c r="DP59" s="74" t="str">
        <f>IF($H59=Formeln_RI_P.10!$A$280,$DE59,IF($H59=Formeln_RI_P.10!$A$281,$DG59,IF($H59=Formeln_RI_P.10!$A$282,$DD59,IF($H59=Formeln_RI_P.10!$A$283,$DN59,IF($H59=Formeln_RI_P.10!$A$284,$DF59,IF($H59=Formeln_RI_P.10!$A$285,$DI59,IF($H59=Formeln_RI_P.10!$A$286,$DJ59,IF($H59=Formeln_RI_P.10!$A$287,$DK59,IF($H59=Formeln_RI_P.10!$A$288,$DH$94,IF($H59=Formeln_RI_P.10!$A$289,$DM59,IF($H59=Formeln_RI_P.10!$A$290,$DL59,IF($H59=Formeln_RI_P.10!$A$291,$DC59,IF($H59=Formeln_RI_P.10!$A$292,$DO59,"")))))))))))))</f>
        <v>430027</v>
      </c>
      <c r="DQ59" s="74">
        <v>0.75</v>
      </c>
      <c r="DR59" s="74">
        <v>750</v>
      </c>
      <c r="DS59" s="64"/>
      <c r="DT59" s="71">
        <v>430152</v>
      </c>
      <c r="DU59" s="71">
        <v>430151</v>
      </c>
      <c r="DV59" s="71"/>
      <c r="DW59" s="71">
        <v>430150</v>
      </c>
      <c r="DX59" s="71"/>
      <c r="DY59" s="71">
        <v>430141</v>
      </c>
      <c r="DZ59" s="71"/>
      <c r="EA59" s="71"/>
      <c r="EB59" s="71"/>
      <c r="EC59" s="71">
        <v>430154</v>
      </c>
      <c r="ED59" s="71">
        <v>430144</v>
      </c>
      <c r="EE59" s="71">
        <v>430155</v>
      </c>
      <c r="EF59" s="74">
        <f>IF($H59=Formeln_RI_P.10!$A$280,$DU59,IF($H59=Formeln_RI_P.10!$A$281,$DW59,IF($H59=Formeln_RI_P.10!$A$282,$DT59,IF($H59=Formeln_RI_P.10!$A$283,$ED59,IF($H59=Formeln_RI_P.10!$A$284,$DV59,IF($H59=Formeln_RI_P.10!$A$285,$DY59,IF($H59=Formeln_RI_P.10!$A$286,$DZ59,IF($H59=Formeln_RI_P.10!$A$287,$EA59,IF($H59=Formeln_RI_P.10!$A$288,$DX$94,IF($H59=Formeln_RI_P.10!$A$289,$EC59,IF($H59=Formeln_RI_P.10!$A$290,$EB59,IF($H59=Formeln_RI_P.10!$A$291,$DS59,IF($H59=Formeln_RI_P.10!$A$292,$EE59,"")))))))))))))</f>
        <v>0</v>
      </c>
      <c r="EG59" s="74">
        <v>50</v>
      </c>
      <c r="EH59" s="74">
        <v>50</v>
      </c>
    </row>
    <row r="60" spans="1:138" ht="32.1" customHeight="1">
      <c r="A60" s="131"/>
      <c r="B60" s="96" t="str">
        <f>VLOOKUP("STK",Sprachindex!A:Z,Info!$O$6,FALSE)</f>
        <v>STK</v>
      </c>
      <c r="C60" s="95"/>
      <c r="D60" s="95">
        <f t="shared" ref="D60:D61" si="8">AA60</f>
        <v>0</v>
      </c>
      <c r="E60" s="250" t="str">
        <f>VLOOKUP("Ausbesserungslack",Sprachindex!A:Z,Info!$O$6,FALSE)</f>
        <v>Ausbesserungslack</v>
      </c>
      <c r="F60" s="251"/>
      <c r="G60" s="251"/>
      <c r="H60" s="251"/>
      <c r="I60" s="251"/>
      <c r="J60" s="307" t="str">
        <f>VLOOKUP("12 ml",Sprachindex!A:Z,Info!$O$6,FALSE)</f>
        <v>12 ml</v>
      </c>
      <c r="K60" s="308"/>
      <c r="L60" s="96" t="str">
        <f t="shared" ref="L60:L66" si="9">IF(OR(A60="",R60="",S60="")," ",IF($N$11=1,$P60,IF($N$11=2,Q60,0)))</f>
        <v xml:space="preserve"> </v>
      </c>
      <c r="M60" s="130"/>
      <c r="N60" s="87"/>
      <c r="O60" s="1"/>
      <c r="P60" s="8"/>
      <c r="Q60" s="8"/>
      <c r="R60" s="8"/>
      <c r="S60" s="8"/>
      <c r="T60" s="1">
        <v>430151</v>
      </c>
      <c r="U60" s="1">
        <v>430150</v>
      </c>
      <c r="V60" s="1">
        <v>430153</v>
      </c>
      <c r="W60" s="1">
        <v>430152</v>
      </c>
      <c r="Y60" s="1">
        <v>430154</v>
      </c>
      <c r="Z60" s="1">
        <v>430155</v>
      </c>
      <c r="AA60" s="73">
        <f t="shared" si="7"/>
        <v>0</v>
      </c>
    </row>
    <row r="61" spans="1:138" ht="32.1" customHeight="1">
      <c r="A61" s="131"/>
      <c r="B61" s="96" t="str">
        <f>VLOOKUP("STK",Sprachindex!A:Z,Info!$O$6,FALSE)</f>
        <v>STK</v>
      </c>
      <c r="C61" s="95"/>
      <c r="D61" s="95">
        <f t="shared" si="8"/>
        <v>0</v>
      </c>
      <c r="E61" s="250" t="str">
        <f>VLOOKUP("Ausbesserungsstift",Sprachindex!A:Z,Info!$O$6,FALSE)</f>
        <v>Ausbesserungsstift</v>
      </c>
      <c r="F61" s="251"/>
      <c r="G61" s="251"/>
      <c r="H61" s="251"/>
      <c r="I61" s="251"/>
      <c r="J61" s="307" t="str">
        <f>VLOOKUP("11 ml",Sprachindex!A:Z,Info!$O$6,FALSE)</f>
        <v>11 ml</v>
      </c>
      <c r="K61" s="308"/>
      <c r="L61" s="96" t="str">
        <f t="shared" si="9"/>
        <v xml:space="preserve"> </v>
      </c>
      <c r="M61" s="130"/>
      <c r="N61" s="87"/>
      <c r="O61" s="1"/>
      <c r="P61" s="8"/>
      <c r="Q61" s="8"/>
      <c r="R61" s="8"/>
      <c r="S61" s="8"/>
      <c r="T61" s="1">
        <v>430201</v>
      </c>
      <c r="U61" s="1">
        <v>430200</v>
      </c>
      <c r="V61" s="1">
        <v>430203</v>
      </c>
      <c r="W61" s="1">
        <v>430202</v>
      </c>
      <c r="X61" s="1">
        <v>430210</v>
      </c>
      <c r="Y61" s="1">
        <v>430204</v>
      </c>
      <c r="Z61" s="1">
        <v>430205</v>
      </c>
      <c r="AA61" s="73">
        <f t="shared" si="7"/>
        <v>0</v>
      </c>
    </row>
    <row r="62" spans="1:138" ht="32.1" customHeight="1">
      <c r="A62" s="131"/>
      <c r="B62" s="96" t="str">
        <f>VLOOKUP("STK",Sprachindex!A:Z,Info!$O$6,FALSE)</f>
        <v>STK</v>
      </c>
      <c r="C62" s="95"/>
      <c r="D62" s="95">
        <v>425002</v>
      </c>
      <c r="E62" s="250" t="str">
        <f>VLOOKUP("Aluminium-Lötstäbe",Sprachindex!A:Z,Info!$O$6,FALSE)</f>
        <v>Aluminium-Lötstäbe</v>
      </c>
      <c r="F62" s="251"/>
      <c r="G62" s="251"/>
      <c r="H62" s="251"/>
      <c r="I62" s="251"/>
      <c r="J62" s="307" t="str">
        <f>VLOOKUP("250 g",Sprachindex!A:Z,Info!$O$6,FALSE)</f>
        <v>250 g</v>
      </c>
      <c r="K62" s="308"/>
      <c r="L62" s="96" t="str">
        <f t="shared" si="9"/>
        <v xml:space="preserve"> </v>
      </c>
      <c r="M62" s="130"/>
      <c r="N62" s="87"/>
      <c r="O62" s="1"/>
      <c r="P62" s="8"/>
      <c r="Q62" s="8"/>
      <c r="R62" s="8"/>
      <c r="S62" s="8"/>
    </row>
    <row r="63" spans="1:138" ht="32.1" customHeight="1">
      <c r="A63" s="118"/>
      <c r="B63" s="96" t="str">
        <f>VLOOKUP("STK",Sprachindex!A:Z,Info!$O$6,FALSE)</f>
        <v>STK</v>
      </c>
      <c r="C63" s="95"/>
      <c r="D63" s="95">
        <v>420006</v>
      </c>
      <c r="E63" s="250" t="str">
        <f>VLOOKUP("Spezialsilikon",Sprachindex!A:Z,Info!$O$6,FALSE)</f>
        <v>Spezialsilikon</v>
      </c>
      <c r="F63" s="251"/>
      <c r="G63" s="251"/>
      <c r="H63" s="251"/>
      <c r="I63" s="251"/>
      <c r="J63" s="307" t="str">
        <f>VLOOKUP("300 ml",Sprachindex!A:Z,Info!$O$6,FALSE)</f>
        <v>300 ml</v>
      </c>
      <c r="K63" s="308"/>
      <c r="L63" s="96" t="str">
        <f t="shared" si="9"/>
        <v xml:space="preserve"> </v>
      </c>
      <c r="M63" s="130"/>
      <c r="N63" s="87"/>
      <c r="O63" s="1"/>
      <c r="P63" s="8"/>
      <c r="Q63" s="8"/>
      <c r="R63" s="8"/>
      <c r="S63" s="8"/>
    </row>
    <row r="64" spans="1:138" ht="32.1" customHeight="1">
      <c r="A64" s="126"/>
      <c r="B64" s="96" t="str">
        <f>VLOOKUP("Stk",Sprachindex!A:Z,Info!$O$6,FALSE)</f>
        <v>STK</v>
      </c>
      <c r="C64" s="95"/>
      <c r="D64" s="95">
        <v>420501</v>
      </c>
      <c r="E64" s="250" t="str">
        <f>VLOOKUP("Spezialkleber",Sprachindex!A:Z,Info!$O$6,FALSE)</f>
        <v>Spezialkleber</v>
      </c>
      <c r="F64" s="251"/>
      <c r="G64" s="251"/>
      <c r="H64" s="251"/>
      <c r="I64" s="251"/>
      <c r="J64" s="307"/>
      <c r="K64" s="308"/>
      <c r="L64" s="96" t="str">
        <f t="shared" ref="L64:L65" si="10">IF(A64=0,"",IF($N$11=1,P64,Q64))</f>
        <v/>
      </c>
      <c r="M64" s="102"/>
      <c r="N64" s="87"/>
      <c r="O64" s="1"/>
      <c r="P64" s="8"/>
      <c r="Q64" s="8"/>
      <c r="R64" s="8"/>
      <c r="S64" s="8"/>
    </row>
    <row r="65" spans="1:21" ht="32.1" customHeight="1">
      <c r="A65" s="118"/>
      <c r="B65" s="96" t="str">
        <f>VLOOKUP("Set",Sprachindex!A:Z,Info!$O$6,FALSE)</f>
        <v>Set</v>
      </c>
      <c r="C65" s="98"/>
      <c r="D65" s="95">
        <v>420500</v>
      </c>
      <c r="E65" s="250" t="str">
        <f>VLOOKUP("Spezialkleber-Set",Sprachindex!A:Z,Info!$O$6,FALSE)</f>
        <v>Spezialkleber-Set</v>
      </c>
      <c r="F65" s="251"/>
      <c r="G65" s="251"/>
      <c r="H65" s="251"/>
      <c r="I65" s="251"/>
      <c r="J65" s="307"/>
      <c r="K65" s="308"/>
      <c r="L65" s="96" t="str">
        <f t="shared" si="10"/>
        <v/>
      </c>
      <c r="M65" s="102"/>
      <c r="N65" s="87"/>
      <c r="O65" s="1"/>
      <c r="P65" s="8"/>
      <c r="Q65" s="8"/>
      <c r="R65" s="8"/>
      <c r="S65" s="8"/>
    </row>
    <row r="66" spans="1:21" ht="32.1" customHeight="1">
      <c r="A66" s="118"/>
      <c r="B66" s="96" t="str">
        <f>VLOOKUP("STK",Sprachindex!A:Z,Info!$O$6,FALSE)</f>
        <v>STK</v>
      </c>
      <c r="C66" s="95"/>
      <c r="D66" s="95">
        <v>420028</v>
      </c>
      <c r="E66" s="250" t="str">
        <f>VLOOKUP("Rinnenwulstöffner",Sprachindex!A:Z,Info!$O$6,FALSE)</f>
        <v>Rinnenwulstöffner</v>
      </c>
      <c r="F66" s="251"/>
      <c r="G66" s="251"/>
      <c r="H66" s="251"/>
      <c r="I66" s="251"/>
      <c r="J66" s="307"/>
      <c r="K66" s="308"/>
      <c r="L66" s="96" t="str">
        <f t="shared" si="9"/>
        <v xml:space="preserve"> </v>
      </c>
      <c r="M66" s="102"/>
      <c r="N66" s="87"/>
      <c r="O66" s="1"/>
      <c r="P66" s="8"/>
      <c r="Q66" s="8"/>
      <c r="R66" s="8"/>
      <c r="S66" s="8"/>
    </row>
    <row r="67" spans="1:21" ht="32.1" customHeight="1">
      <c r="A67" s="202"/>
      <c r="B67" s="196"/>
      <c r="C67" s="196"/>
      <c r="D67" s="196"/>
      <c r="E67" s="268"/>
      <c r="F67" s="269"/>
      <c r="G67" s="269"/>
      <c r="H67" s="269"/>
      <c r="I67" s="269"/>
      <c r="J67" s="269"/>
      <c r="K67" s="270"/>
      <c r="L67" s="196"/>
      <c r="M67" s="197"/>
      <c r="N67" s="87"/>
      <c r="O67" s="1"/>
      <c r="P67" s="8"/>
      <c r="Q67" s="8"/>
      <c r="R67" s="8"/>
      <c r="S67" s="8"/>
      <c r="U67"/>
    </row>
    <row r="68" spans="1:21" ht="32.1" customHeight="1">
      <c r="A68" s="202"/>
      <c r="B68" s="196"/>
      <c r="C68" s="196"/>
      <c r="D68" s="196"/>
      <c r="E68" s="268"/>
      <c r="F68" s="269"/>
      <c r="G68" s="269"/>
      <c r="H68" s="269"/>
      <c r="I68" s="269"/>
      <c r="J68" s="269"/>
      <c r="K68" s="270"/>
      <c r="L68" s="196"/>
      <c r="M68" s="197"/>
      <c r="N68" s="87"/>
      <c r="O68" s="1"/>
      <c r="P68" s="8"/>
      <c r="Q68" s="8"/>
      <c r="R68" s="8"/>
      <c r="S68" s="8"/>
    </row>
    <row r="69" spans="1:21" ht="32.1" customHeight="1" thickBot="1">
      <c r="A69" s="198"/>
      <c r="B69" s="199"/>
      <c r="C69" s="199"/>
      <c r="D69" s="199"/>
      <c r="E69" s="271"/>
      <c r="F69" s="272"/>
      <c r="G69" s="272"/>
      <c r="H69" s="272"/>
      <c r="I69" s="272"/>
      <c r="J69" s="272"/>
      <c r="K69" s="273"/>
      <c r="L69" s="196"/>
      <c r="M69" s="200"/>
      <c r="N69" s="87"/>
      <c r="O69" s="1"/>
      <c r="P69" s="8"/>
      <c r="Q69" s="8"/>
      <c r="R69" s="8"/>
      <c r="S69" s="8"/>
    </row>
    <row r="70" spans="1:21" ht="15" customHeight="1">
      <c r="A70" s="86"/>
      <c r="B70" s="86"/>
      <c r="C70" s="8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87"/>
      <c r="R70" s="8"/>
      <c r="S70" s="8"/>
    </row>
    <row r="71" spans="1:21" ht="17.399999999999999">
      <c r="A71" s="86"/>
      <c r="B71" s="86"/>
      <c r="C71" s="108" t="str">
        <f>VLOOKUP("Zusatzvermerk:",Sprachindex!A:Z,Info!$O$6,FALSE)</f>
        <v>Zusatzvermerk:</v>
      </c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87"/>
    </row>
    <row r="72" spans="1:21" ht="17.399999999999999">
      <c r="A72" s="86"/>
      <c r="B72" s="86"/>
      <c r="C72" s="86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87"/>
    </row>
    <row r="73" spans="1:21" ht="17.399999999999999">
      <c r="A73" s="86"/>
      <c r="B73" s="86"/>
      <c r="C73" s="86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87"/>
    </row>
    <row r="74" spans="1:21" ht="17.399999999999999">
      <c r="A74" s="86"/>
      <c r="B74" s="86"/>
      <c r="C74" s="86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87"/>
    </row>
    <row r="75" spans="1:21" ht="17.399999999999999">
      <c r="A75" s="86"/>
      <c r="B75" s="86"/>
      <c r="C75" s="86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87"/>
    </row>
    <row r="76" spans="1:21" ht="17.399999999999999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7"/>
    </row>
    <row r="77" spans="1:21" ht="17.399999999999999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7"/>
    </row>
    <row r="78" spans="1:21" ht="17.399999999999999">
      <c r="A78" s="109" t="str">
        <f>VLOOKUP("Anwendungstechnik",Sprachindex!A:Z,Info!$O$6,FALSE)</f>
        <v>Anwendungstechnik</v>
      </c>
      <c r="B78" s="110"/>
      <c r="C78" s="110"/>
      <c r="D78" s="264"/>
      <c r="E78" s="264"/>
      <c r="F78" s="264"/>
      <c r="G78" s="264"/>
      <c r="H78" s="264"/>
      <c r="I78" s="264"/>
      <c r="J78" s="264"/>
      <c r="K78" s="111" t="str">
        <f>VLOOKUP("Stand:",Sprachindex!A:Z,Info!$O$6,FALSE)</f>
        <v>Stand:</v>
      </c>
      <c r="L78" s="277">
        <v>44546</v>
      </c>
      <c r="M78" s="278"/>
      <c r="N78" s="87"/>
    </row>
    <row r="79" spans="1:21" ht="13.8"/>
    <row r="80" spans="1:21" ht="13.8" hidden="1"/>
    <row r="81" ht="13.8" hidden="1"/>
    <row r="82" ht="13.8" hidden="1"/>
    <row r="83" ht="13.8" hidden="1"/>
    <row r="84" ht="13.8" hidden="1"/>
    <row r="85" ht="13.8" hidden="1"/>
    <row r="86" ht="13.8" hidden="1"/>
    <row r="87" ht="13.8" hidden="1"/>
    <row r="88" ht="13.8" hidden="1"/>
    <row r="89" ht="13.8" hidden="1"/>
    <row r="90" ht="13.8" hidden="1"/>
    <row r="91" ht="13.8" hidden="1"/>
    <row r="92" ht="13.8" hidden="1"/>
    <row r="93" ht="13.8" hidden="1"/>
    <row r="94" ht="13.8" hidden="1"/>
    <row r="95" ht="13.8" hidden="1"/>
    <row r="96" ht="13.8" hidden="1"/>
    <row r="97" ht="13.8" hidden="1"/>
    <row r="98" ht="13.8" hidden="1"/>
    <row r="99" ht="13.8" hidden="1"/>
    <row r="100" ht="13.8" hidden="1"/>
    <row r="101" ht="13.8" hidden="1"/>
    <row r="102" ht="13.8" hidden="1"/>
    <row r="103" ht="13.8" hidden="1"/>
    <row r="104" ht="13.8" hidden="1"/>
    <row r="105" ht="13.8" hidden="1"/>
    <row r="106" ht="13.8" hidden="1"/>
    <row r="107" ht="13.8" hidden="1"/>
    <row r="108" ht="13.8" hidden="1"/>
    <row r="109" ht="13.8" hidden="1"/>
    <row r="110" ht="13.8" hidden="1"/>
    <row r="111" ht="13.8" hidden="1"/>
    <row r="112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3.8" hidden="1"/>
    <row r="123" ht="13.8" hidden="1"/>
    <row r="124" ht="13.8" hidden="1"/>
    <row r="125" ht="13.8" hidden="1"/>
    <row r="126" ht="13.8" hidden="1"/>
    <row r="127" ht="13.8" hidden="1"/>
    <row r="128" ht="13.8" hidden="1"/>
    <row r="129" ht="13.8" hidden="1"/>
    <row r="130" ht="13.8" hidden="1"/>
    <row r="131" ht="13.8" hidden="1"/>
    <row r="132" ht="13.8" hidden="1"/>
    <row r="133" ht="13.8" hidden="1"/>
    <row r="134" ht="13.8" hidden="1"/>
    <row r="135" ht="13.8" hidden="1"/>
    <row r="136" ht="13.8" hidden="1"/>
    <row r="137" ht="13.8" hidden="1"/>
    <row r="138" ht="13.8" hidden="1"/>
    <row r="139" ht="13.8" hidden="1"/>
    <row r="140" ht="13.8" hidden="1"/>
    <row r="141" ht="14.25" hidden="1" customHeight="1"/>
    <row r="142" ht="14.25" hidden="1" customHeight="1"/>
    <row r="143" ht="14.25" hidden="1" customHeight="1"/>
    <row r="144" ht="14.25" hidden="1" customHeight="1"/>
    <row r="145" ht="14.25" hidden="1" customHeight="1"/>
    <row r="146" ht="14.25" hidden="1" customHeight="1"/>
    <row r="147" ht="14.25" hidden="1" customHeight="1"/>
    <row r="148" ht="14.25" hidden="1" customHeight="1"/>
    <row r="149" ht="14.25" hidden="1" customHeight="1"/>
    <row r="150" ht="14.25" hidden="1" customHeight="1"/>
    <row r="151" ht="14.25" hidden="1" customHeight="1"/>
    <row r="152" ht="14.25" hidden="1" customHeight="1"/>
    <row r="153" ht="14.25" hidden="1" customHeight="1"/>
    <row r="154" ht="14.25" hidden="1" customHeight="1"/>
    <row r="155" ht="14.25" hidden="1" customHeight="1"/>
    <row r="156" ht="14.25" hidden="1" customHeight="1"/>
    <row r="157" ht="14.25" hidden="1" customHeight="1"/>
    <row r="158" ht="14.25" hidden="1" customHeight="1"/>
    <row r="159" ht="14.25" hidden="1" customHeight="1"/>
    <row r="160" ht="14.25" hidden="1" customHeight="1"/>
    <row r="161" ht="14.25" hidden="1" customHeight="1"/>
    <row r="162" ht="14.25" hidden="1" customHeight="1"/>
    <row r="163" ht="14.25" hidden="1" customHeight="1"/>
    <row r="164" ht="14.25" hidden="1" customHeight="1"/>
    <row r="165" ht="14.25" hidden="1" customHeight="1"/>
    <row r="166" ht="14.25" hidden="1" customHeight="1"/>
    <row r="167" ht="14.25" hidden="1" customHeight="1"/>
    <row r="168" ht="14.25" hidden="1" customHeight="1"/>
    <row r="169" ht="14.25" hidden="1" customHeight="1"/>
    <row r="170" ht="14.25" hidden="1" customHeight="1"/>
    <row r="171" ht="14.25" hidden="1" customHeight="1"/>
    <row r="172" ht="14.25" hidden="1" customHeight="1"/>
    <row r="173" ht="14.25" hidden="1" customHeight="1"/>
    <row r="174" ht="14.25" hidden="1" customHeight="1"/>
    <row r="175" ht="14.25" hidden="1" customHeight="1"/>
    <row r="176" ht="14.25" hidden="1" customHeight="1"/>
  </sheetData>
  <sheetProtection password="8D71" sheet="1" objects="1" scenarios="1" selectLockedCells="1" autoFilter="0"/>
  <protectedRanges>
    <protectedRange password="DEBF" sqref="P32:Q34 P36:Q36 P38:Q38 P40:Q40 P45:Q45 P47:Q47 P49:Q49 P42:Q43 P52:Q58" name="darf vom Benutzer nicht verändert werden_1_2"/>
    <protectedRange password="DEBF" sqref="P67:Q69" name="darf vom Benutzer nicht verändert werden_1_5"/>
    <protectedRange password="DEBF" sqref="R32:R34 S32 R45:S45 R36 R38 R40 R42:S42" name="darf vom Benutzer nicht verändert werden_1_12"/>
    <protectedRange password="DEBF" sqref="R43" name="darf vom Benutzer nicht verändert werden_1_12_1"/>
    <protectedRange password="DEBF" sqref="P31:Q31" name="darf vom Benutzer nicht verändert werden_1_2_1"/>
    <protectedRange password="DEBF" sqref="R31:S31" name="darf vom Benutzer nicht verändert werden_1_12_2"/>
    <protectedRange password="DEBF" sqref="P35:Q35" name="darf vom Benutzer nicht verändert werden_1_2_2"/>
    <protectedRange password="DEBF" sqref="R35" name="darf vom Benutzer nicht verändert werden_1_12_3"/>
    <protectedRange password="DEBF" sqref="P37:Q37" name="darf vom Benutzer nicht verändert werden_1_2_3"/>
    <protectedRange password="DEBF" sqref="R37" name="darf vom Benutzer nicht verändert werden_1_12_4"/>
    <protectedRange password="DEBF" sqref="P39:Q39" name="darf vom Benutzer nicht verändert werden_1_2_4"/>
    <protectedRange password="DEBF" sqref="R39" name="darf vom Benutzer nicht verändert werden_1_12_5"/>
    <protectedRange password="DEBF" sqref="P44:Q44" name="darf vom Benutzer nicht verändert werden_1_2_5"/>
    <protectedRange password="DEBF" sqref="R44" name="darf vom Benutzer nicht verändert werden_1_12_6"/>
    <protectedRange password="DEBF" sqref="P46:Q46" name="darf vom Benutzer nicht verändert werden_1_2_6"/>
    <protectedRange password="DEBF" sqref="P48:Q48" name="darf vom Benutzer nicht verändert werden_1_2_7"/>
    <protectedRange password="DEBF" sqref="P41:Q41" name="darf vom Benutzer nicht verändert werden_1_2_8"/>
    <protectedRange password="DEBF" sqref="R41" name="darf vom Benutzer nicht verändert werden_1_12_7"/>
    <protectedRange password="DEBF" sqref="P50:Q50" name="darf vom Benutzer nicht verändert werden_1_2_9"/>
    <protectedRange password="DEBF" sqref="P51:Q51" name="darf vom Benutzer nicht verändert werden_1_2_1_1"/>
    <protectedRange password="DEBF" sqref="P60:Q66" name="darf vom Benutzer nicht verändert werden_1_2_2_1"/>
    <protectedRange password="DEBF" sqref="P59:Q59" name="darf vom Benutzer nicht verändert werden_1_2_1_2"/>
  </protectedRanges>
  <autoFilter ref="A29:A69" xr:uid="{00000000-0009-0000-0000-00000C000000}"/>
  <mergeCells count="92">
    <mergeCell ref="E60:I60"/>
    <mergeCell ref="J60:K60"/>
    <mergeCell ref="E61:I61"/>
    <mergeCell ref="J61:K61"/>
    <mergeCell ref="E62:I62"/>
    <mergeCell ref="J62:K62"/>
    <mergeCell ref="D78:J78"/>
    <mergeCell ref="L78:M78"/>
    <mergeCell ref="E67:K67"/>
    <mergeCell ref="E68:K68"/>
    <mergeCell ref="E69:K69"/>
    <mergeCell ref="D70:M71"/>
    <mergeCell ref="D72:M73"/>
    <mergeCell ref="D74:M75"/>
    <mergeCell ref="E49:K49"/>
    <mergeCell ref="E35:K35"/>
    <mergeCell ref="E37:K37"/>
    <mergeCell ref="E53:H53"/>
    <mergeCell ref="J53:K53"/>
    <mergeCell ref="E44:K44"/>
    <mergeCell ref="E46:K46"/>
    <mergeCell ref="E48:K48"/>
    <mergeCell ref="E41:K41"/>
    <mergeCell ref="E42:G42"/>
    <mergeCell ref="I42:K42"/>
    <mergeCell ref="E43:K43"/>
    <mergeCell ref="E45:G45"/>
    <mergeCell ref="I45:K45"/>
    <mergeCell ref="E47:K47"/>
    <mergeCell ref="E50:K50"/>
    <mergeCell ref="E33:K33"/>
    <mergeCell ref="E34:K34"/>
    <mergeCell ref="E36:K36"/>
    <mergeCell ref="E38:K38"/>
    <mergeCell ref="E40:K40"/>
    <mergeCell ref="E39:K39"/>
    <mergeCell ref="B24:B27"/>
    <mergeCell ref="C24:E24"/>
    <mergeCell ref="I24:K24"/>
    <mergeCell ref="C25:E25"/>
    <mergeCell ref="I25:K25"/>
    <mergeCell ref="C26:E26"/>
    <mergeCell ref="I26:K26"/>
    <mergeCell ref="C27:E27"/>
    <mergeCell ref="B29:E29"/>
    <mergeCell ref="E30:K30"/>
    <mergeCell ref="E32:G32"/>
    <mergeCell ref="H32:I32"/>
    <mergeCell ref="J32:K32"/>
    <mergeCell ref="E31:G31"/>
    <mergeCell ref="H31:I31"/>
    <mergeCell ref="J31:K31"/>
    <mergeCell ref="P29:Q29"/>
    <mergeCell ref="R29:S29"/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  <mergeCell ref="C21:E21"/>
    <mergeCell ref="E51:I51"/>
    <mergeCell ref="J51:K51"/>
    <mergeCell ref="E59:I59"/>
    <mergeCell ref="J59:K59"/>
    <mergeCell ref="E52:H52"/>
    <mergeCell ref="J52:K52"/>
    <mergeCell ref="E54:H54"/>
    <mergeCell ref="J54:K54"/>
    <mergeCell ref="E55:I55"/>
    <mergeCell ref="J55:K55"/>
    <mergeCell ref="E56:H56"/>
    <mergeCell ref="J56:K56"/>
    <mergeCell ref="E57:I57"/>
    <mergeCell ref="J57:K57"/>
    <mergeCell ref="E58:I58"/>
    <mergeCell ref="J58:K58"/>
    <mergeCell ref="J66:K66"/>
    <mergeCell ref="E63:I63"/>
    <mergeCell ref="J63:K63"/>
    <mergeCell ref="E64:I64"/>
    <mergeCell ref="J64:K64"/>
    <mergeCell ref="E65:I65"/>
    <mergeCell ref="J65:K65"/>
    <mergeCell ref="E66:I66"/>
  </mergeCells>
  <conditionalFormatting sqref="K18">
    <cfRule type="expression" dxfId="95" priority="100">
      <formula>$N$21=13</formula>
    </cfRule>
  </conditionalFormatting>
  <conditionalFormatting sqref="K17">
    <cfRule type="expression" dxfId="94" priority="101">
      <formula>$N$21=13</formula>
    </cfRule>
  </conditionalFormatting>
  <conditionalFormatting sqref="L19">
    <cfRule type="expression" dxfId="93" priority="99">
      <formula>$N$21=14</formula>
    </cfRule>
  </conditionalFormatting>
  <conditionalFormatting sqref="C9:E9">
    <cfRule type="cellIs" dxfId="92" priority="98" operator="equal">
      <formula>""</formula>
    </cfRule>
  </conditionalFormatting>
  <conditionalFormatting sqref="C10:E10">
    <cfRule type="cellIs" dxfId="91" priority="97" operator="equal">
      <formula>""</formula>
    </cfRule>
  </conditionalFormatting>
  <conditionalFormatting sqref="C11:E11">
    <cfRule type="cellIs" dxfId="90" priority="96" operator="equal">
      <formula>""</formula>
    </cfRule>
  </conditionalFormatting>
  <conditionalFormatting sqref="C13:E13">
    <cfRule type="cellIs" dxfId="89" priority="95" operator="equal">
      <formula>""</formula>
    </cfRule>
  </conditionalFormatting>
  <conditionalFormatting sqref="C14:E14">
    <cfRule type="cellIs" dxfId="88" priority="94" operator="equal">
      <formula>""</formula>
    </cfRule>
  </conditionalFormatting>
  <conditionalFormatting sqref="C15:E15">
    <cfRule type="cellIs" dxfId="87" priority="93" operator="equal">
      <formula>""</formula>
    </cfRule>
  </conditionalFormatting>
  <conditionalFormatting sqref="C18:E18">
    <cfRule type="cellIs" dxfId="86" priority="92" operator="equal">
      <formula>""</formula>
    </cfRule>
  </conditionalFormatting>
  <conditionalFormatting sqref="C19:E19">
    <cfRule type="cellIs" dxfId="85" priority="91" operator="equal">
      <formula>""</formula>
    </cfRule>
  </conditionalFormatting>
  <conditionalFormatting sqref="C20:E20">
    <cfRule type="cellIs" dxfId="84" priority="90" operator="equal">
      <formula>""</formula>
    </cfRule>
  </conditionalFormatting>
  <conditionalFormatting sqref="C21:E21">
    <cfRule type="cellIs" dxfId="83" priority="89" operator="equal">
      <formula>""</formula>
    </cfRule>
  </conditionalFormatting>
  <conditionalFormatting sqref="A32">
    <cfRule type="cellIs" dxfId="82" priority="85" operator="equal">
      <formula>0</formula>
    </cfRule>
  </conditionalFormatting>
  <conditionalFormatting sqref="A33">
    <cfRule type="cellIs" dxfId="81" priority="84" operator="equal">
      <formula>0</formula>
    </cfRule>
  </conditionalFormatting>
  <conditionalFormatting sqref="A34">
    <cfRule type="cellIs" dxfId="80" priority="83" operator="equal">
      <formula>0</formula>
    </cfRule>
  </conditionalFormatting>
  <conditionalFormatting sqref="A36">
    <cfRule type="cellIs" dxfId="79" priority="82" operator="equal">
      <formula>0</formula>
    </cfRule>
  </conditionalFormatting>
  <conditionalFormatting sqref="A38">
    <cfRule type="cellIs" dxfId="78" priority="81" operator="equal">
      <formula>0</formula>
    </cfRule>
  </conditionalFormatting>
  <conditionalFormatting sqref="A40">
    <cfRule type="cellIs" dxfId="77" priority="80" operator="equal">
      <formula>0</formula>
    </cfRule>
  </conditionalFormatting>
  <conditionalFormatting sqref="A42">
    <cfRule type="cellIs" dxfId="76" priority="79" operator="equal">
      <formula>0</formula>
    </cfRule>
  </conditionalFormatting>
  <conditionalFormatting sqref="A43">
    <cfRule type="cellIs" dxfId="75" priority="78" operator="equal">
      <formula>0</formula>
    </cfRule>
  </conditionalFormatting>
  <conditionalFormatting sqref="A45">
    <cfRule type="cellIs" dxfId="74" priority="77" operator="equal">
      <formula>0</formula>
    </cfRule>
  </conditionalFormatting>
  <conditionalFormatting sqref="A47">
    <cfRule type="cellIs" dxfId="73" priority="76" operator="equal">
      <formula>0</formula>
    </cfRule>
  </conditionalFormatting>
  <conditionalFormatting sqref="A49">
    <cfRule type="cellIs" dxfId="72" priority="75" operator="equal">
      <formula>0</formula>
    </cfRule>
  </conditionalFormatting>
  <conditionalFormatting sqref="A68">
    <cfRule type="cellIs" dxfId="71" priority="73" operator="equal">
      <formula>0</formula>
    </cfRule>
  </conditionalFormatting>
  <conditionalFormatting sqref="A69">
    <cfRule type="cellIs" dxfId="70" priority="72" operator="equal">
      <formula>0</formula>
    </cfRule>
  </conditionalFormatting>
  <conditionalFormatting sqref="A67">
    <cfRule type="cellIs" dxfId="69" priority="74" operator="equal">
      <formula>0</formula>
    </cfRule>
  </conditionalFormatting>
  <conditionalFormatting sqref="B67">
    <cfRule type="cellIs" dxfId="68" priority="68" operator="equal">
      <formula>0</formula>
    </cfRule>
  </conditionalFormatting>
  <conditionalFormatting sqref="B68">
    <cfRule type="cellIs" dxfId="67" priority="67" operator="equal">
      <formula>0</formula>
    </cfRule>
  </conditionalFormatting>
  <conditionalFormatting sqref="B69">
    <cfRule type="cellIs" dxfId="66" priority="66" operator="equal">
      <formula>0</formula>
    </cfRule>
  </conditionalFormatting>
  <conditionalFormatting sqref="C69">
    <cfRule type="cellIs" dxfId="65" priority="65" operator="equal">
      <formula>0</formula>
    </cfRule>
  </conditionalFormatting>
  <conditionalFormatting sqref="C68">
    <cfRule type="cellIs" dxfId="64" priority="64" operator="equal">
      <formula>0</formula>
    </cfRule>
  </conditionalFormatting>
  <conditionalFormatting sqref="C67">
    <cfRule type="cellIs" dxfId="63" priority="63" operator="equal">
      <formula>0</formula>
    </cfRule>
  </conditionalFormatting>
  <conditionalFormatting sqref="M67">
    <cfRule type="cellIs" dxfId="62" priority="62" operator="equal">
      <formula>0</formula>
    </cfRule>
  </conditionalFormatting>
  <conditionalFormatting sqref="M68">
    <cfRule type="cellIs" dxfId="61" priority="61" operator="equal">
      <formula>0</formula>
    </cfRule>
  </conditionalFormatting>
  <conditionalFormatting sqref="M69">
    <cfRule type="cellIs" dxfId="60" priority="60" operator="equal">
      <formula>0</formula>
    </cfRule>
  </conditionalFormatting>
  <conditionalFormatting sqref="L67">
    <cfRule type="cellIs" dxfId="59" priority="59" operator="equal">
      <formula>0</formula>
    </cfRule>
  </conditionalFormatting>
  <conditionalFormatting sqref="L68">
    <cfRule type="cellIs" dxfId="58" priority="58" operator="equal">
      <formula>0</formula>
    </cfRule>
  </conditionalFormatting>
  <conditionalFormatting sqref="L69">
    <cfRule type="cellIs" dxfId="57" priority="57" operator="equal">
      <formula>0</formula>
    </cfRule>
  </conditionalFormatting>
  <conditionalFormatting sqref="E67">
    <cfRule type="cellIs" dxfId="56" priority="56" operator="equal">
      <formula>0</formula>
    </cfRule>
  </conditionalFormatting>
  <conditionalFormatting sqref="E68">
    <cfRule type="cellIs" dxfId="55" priority="55" operator="equal">
      <formula>0</formula>
    </cfRule>
  </conditionalFormatting>
  <conditionalFormatting sqref="E69">
    <cfRule type="cellIs" dxfId="54" priority="54" operator="equal">
      <formula>0</formula>
    </cfRule>
  </conditionalFormatting>
  <conditionalFormatting sqref="D69">
    <cfRule type="cellIs" dxfId="53" priority="53" operator="equal">
      <formula>0</formula>
    </cfRule>
  </conditionalFormatting>
  <conditionalFormatting sqref="D68">
    <cfRule type="cellIs" dxfId="52" priority="52" operator="equal">
      <formula>0</formula>
    </cfRule>
  </conditionalFormatting>
  <conditionalFormatting sqref="D67">
    <cfRule type="cellIs" dxfId="51" priority="51" operator="equal">
      <formula>0</formula>
    </cfRule>
  </conditionalFormatting>
  <conditionalFormatting sqref="I13">
    <cfRule type="expression" dxfId="50" priority="47">
      <formula>$N$13=2</formula>
    </cfRule>
    <cfRule type="expression" dxfId="49" priority="50">
      <formula>$N$13=1</formula>
    </cfRule>
  </conditionalFormatting>
  <conditionalFormatting sqref="L13">
    <cfRule type="expression" dxfId="48" priority="48">
      <formula>$N$13=1</formula>
    </cfRule>
    <cfRule type="expression" dxfId="47" priority="49">
      <formula>$N$13=2</formula>
    </cfRule>
  </conditionalFormatting>
  <conditionalFormatting sqref="A52 A54:A58">
    <cfRule type="cellIs" dxfId="46" priority="46" operator="equal">
      <formula>0</formula>
    </cfRule>
  </conditionalFormatting>
  <conditionalFormatting sqref="A53">
    <cfRule type="cellIs" dxfId="45" priority="42" operator="equal">
      <formula>0</formula>
    </cfRule>
  </conditionalFormatting>
  <conditionalFormatting sqref="C24:E24">
    <cfRule type="cellIs" dxfId="44" priority="39" operator="equal">
      <formula>""</formula>
    </cfRule>
  </conditionalFormatting>
  <conditionalFormatting sqref="C25:E25">
    <cfRule type="cellIs" dxfId="43" priority="38" operator="equal">
      <formula>""</formula>
    </cfRule>
  </conditionalFormatting>
  <conditionalFormatting sqref="C26:E26">
    <cfRule type="cellIs" dxfId="42" priority="37" operator="equal">
      <formula>""</formula>
    </cfRule>
  </conditionalFormatting>
  <conditionalFormatting sqref="C27:E27">
    <cfRule type="cellIs" dxfId="41" priority="36" operator="equal">
      <formula>""</formula>
    </cfRule>
  </conditionalFormatting>
  <conditionalFormatting sqref="I26:K26 I24:I25">
    <cfRule type="cellIs" dxfId="40" priority="35" operator="equal">
      <formula>""</formula>
    </cfRule>
  </conditionalFormatting>
  <conditionalFormatting sqref="K4">
    <cfRule type="cellIs" dxfId="39" priority="33" operator="equal">
      <formula>""</formula>
    </cfRule>
  </conditionalFormatting>
  <conditionalFormatting sqref="K5">
    <cfRule type="cellIs" dxfId="38" priority="32" operator="equal">
      <formula>""</formula>
    </cfRule>
  </conditionalFormatting>
  <conditionalFormatting sqref="K6">
    <cfRule type="cellIs" dxfId="37" priority="31" operator="equal">
      <formula>""</formula>
    </cfRule>
  </conditionalFormatting>
  <conditionalFormatting sqref="K7">
    <cfRule type="cellIs" dxfId="36" priority="30" operator="equal">
      <formula>""</formula>
    </cfRule>
  </conditionalFormatting>
  <conditionalFormatting sqref="A31">
    <cfRule type="cellIs" dxfId="35" priority="29" operator="equal">
      <formula>0</formula>
    </cfRule>
  </conditionalFormatting>
  <conditionalFormatting sqref="A35">
    <cfRule type="cellIs" dxfId="34" priority="27" operator="equal">
      <formula>0</formula>
    </cfRule>
  </conditionalFormatting>
  <conditionalFormatting sqref="A37">
    <cfRule type="cellIs" dxfId="33" priority="26" operator="equal">
      <formula>0</formula>
    </cfRule>
  </conditionalFormatting>
  <conditionalFormatting sqref="A39">
    <cfRule type="cellIs" dxfId="32" priority="25" operator="equal">
      <formula>0</formula>
    </cfRule>
  </conditionalFormatting>
  <conditionalFormatting sqref="A44">
    <cfRule type="cellIs" dxfId="31" priority="24" operator="equal">
      <formula>0</formula>
    </cfRule>
  </conditionalFormatting>
  <conditionalFormatting sqref="A46">
    <cfRule type="cellIs" dxfId="30" priority="23" operator="equal">
      <formula>0</formula>
    </cfRule>
  </conditionalFormatting>
  <conditionalFormatting sqref="A48">
    <cfRule type="cellIs" dxfId="29" priority="22" operator="equal">
      <formula>0</formula>
    </cfRule>
  </conditionalFormatting>
  <conditionalFormatting sqref="A41">
    <cfRule type="cellIs" dxfId="28" priority="21" operator="equal">
      <formula>0</formula>
    </cfRule>
  </conditionalFormatting>
  <conditionalFormatting sqref="A50">
    <cfRule type="cellIs" dxfId="27" priority="20" operator="equal">
      <formula>0</formula>
    </cfRule>
  </conditionalFormatting>
  <conditionalFormatting sqref="A51">
    <cfRule type="cellIs" dxfId="26" priority="19" operator="equal">
      <formula>0</formula>
    </cfRule>
  </conditionalFormatting>
  <conditionalFormatting sqref="A51">
    <cfRule type="cellIs" dxfId="25" priority="18" operator="equal">
      <formula>0</formula>
    </cfRule>
  </conditionalFormatting>
  <conditionalFormatting sqref="J59:K59">
    <cfRule type="cellIs" dxfId="24" priority="15" operator="equal">
      <formula>""</formula>
    </cfRule>
  </conditionalFormatting>
  <conditionalFormatting sqref="A59">
    <cfRule type="cellIs" dxfId="23" priority="14" operator="equal">
      <formula>0</formula>
    </cfRule>
  </conditionalFormatting>
  <conditionalFormatting sqref="A62:A63 A66">
    <cfRule type="cellIs" dxfId="22" priority="13" operator="equal">
      <formula>0</formula>
    </cfRule>
  </conditionalFormatting>
  <conditionalFormatting sqref="A62">
    <cfRule type="cellIs" dxfId="21" priority="12" operator="equal">
      <formula>0</formula>
    </cfRule>
  </conditionalFormatting>
  <conditionalFormatting sqref="A66">
    <cfRule type="cellIs" dxfId="20" priority="11" operator="equal">
      <formula>0</formula>
    </cfRule>
  </conditionalFormatting>
  <conditionalFormatting sqref="A63">
    <cfRule type="cellIs" dxfId="19" priority="10" operator="equal">
      <formula>0</formula>
    </cfRule>
  </conditionalFormatting>
  <conditionalFormatting sqref="A60">
    <cfRule type="cellIs" dxfId="18" priority="9" operator="equal">
      <formula>0</formula>
    </cfRule>
  </conditionalFormatting>
  <conditionalFormatting sqref="A60">
    <cfRule type="cellIs" dxfId="17" priority="8" operator="equal">
      <formula>0</formula>
    </cfRule>
  </conditionalFormatting>
  <conditionalFormatting sqref="A61">
    <cfRule type="cellIs" dxfId="16" priority="6" operator="equal">
      <formula>0</formula>
    </cfRule>
  </conditionalFormatting>
  <conditionalFormatting sqref="A61">
    <cfRule type="cellIs" dxfId="15" priority="5" operator="equal">
      <formula>0</formula>
    </cfRule>
  </conditionalFormatting>
  <conditionalFormatting sqref="A64">
    <cfRule type="cellIs" dxfId="14" priority="3" operator="equal">
      <formula>""</formula>
    </cfRule>
  </conditionalFormatting>
  <conditionalFormatting sqref="A65">
    <cfRule type="cellIs" dxfId="13" priority="2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419100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6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7" name="Group Box 3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8" name="Option Button 4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9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10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1" name="Option Button 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12" name="Option Button 17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9</xdr:col>
                    <xdr:colOff>144780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13" name="Option Button 18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6" r:id="rId14" name="Group Box 2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7" r:id="rId15" name="Option Button 23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8" r:id="rId16" name="Option Button 2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0" r:id="rId17" name="Option Button 2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1" r:id="rId18" name="Option Button 2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2" r:id="rId19" name="Option Button 2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30480</xdr:rowOff>
                  </from>
                  <to>
                    <xdr:col>10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3" r:id="rId20" name="Option Button 2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30480</xdr:rowOff>
                  </from>
                  <to>
                    <xdr:col>10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E4E1DC0C-5AE3-47CC-A52A-88BA358B9F23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70" id="{7FB1DDB1-A0CF-411B-AB3A-C1E8C0EDB56E}">
            <xm:f>$I$42=Formeln!$A$1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I42:K42</xm:sqref>
        </x14:conditionalFormatting>
        <x14:conditionalFormatting xmlns:xm="http://schemas.microsoft.com/office/excel/2006/main">
          <x14:cfRule type="expression" priority="69" id="{05443FF1-265E-48C7-B7B8-AE721EB1DFEB}">
            <xm:f>$I$45=Formeln!$A$1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I45:K45</xm:sqref>
        </x14:conditionalFormatting>
        <x14:conditionalFormatting xmlns:xm="http://schemas.microsoft.com/office/excel/2006/main">
          <x14:cfRule type="expression" priority="45" id="{4B5B3F56-A02F-467A-A9DF-AF50D344D0DA}">
            <xm:f>$J$52=Formeln!$A$1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44" id="{BCCC50D2-6F22-4BD9-BB9C-DB596D6EFFFC}">
            <xm:f>$J$56=Formeln!$A$1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41" id="{91CA3FB4-2E5A-4A6E-9AD4-499297B1932B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0" id="{68439795-8F69-4A87-8BD1-1767595C867B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8" id="{0DC7D4EE-1494-4C44-820C-BDDB045E0783}">
            <xm:f>$J$31=Formeln!$A$1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J31:K31</xm:sqref>
        </x14:conditionalFormatting>
        <x14:conditionalFormatting xmlns:xm="http://schemas.microsoft.com/office/excel/2006/main">
          <x14:cfRule type="expression" priority="16" id="{72617848-A3F2-4DFB-8090-9269CCEFC72C}">
            <xm:f>$J$84=Formeln!$A$174</xm:f>
            <x14:dxf>
              <font>
                <color theme="0" tint="-0.24994659260841701"/>
              </font>
            </x14:dxf>
          </x14:cfRule>
          <xm:sqref>J59:K59</xm:sqref>
        </x14:conditionalFormatting>
        <x14:conditionalFormatting xmlns:xm="http://schemas.microsoft.com/office/excel/2006/main">
          <x14:cfRule type="expression" priority="7" id="{E869B9BD-580E-49A6-87C5-B03F97B83B55}">
            <xm:f>$J$108=Formeln!$A$174</xm:f>
            <x14:dxf>
              <font>
                <color theme="0" tint="-0.34998626667073579"/>
              </font>
            </x14:dxf>
          </x14:cfRule>
          <xm:sqref>A60:B60 E60:I60</xm:sqref>
        </x14:conditionalFormatting>
        <x14:conditionalFormatting xmlns:xm="http://schemas.microsoft.com/office/excel/2006/main">
          <x14:cfRule type="expression" priority="4" id="{B1BBA4E5-AEED-467E-9427-350793CF5CE3}">
            <xm:f>$J$108=Formeln!$A$174</xm:f>
            <x14:dxf>
              <font>
                <color theme="0" tint="-0.34998626667073579"/>
              </font>
            </x14:dxf>
          </x14:cfRule>
          <xm:sqref>A61:B61 E61:I61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C00-000000000000}">
          <x14:formula1>
            <xm:f>Formeln_RI_P.10!$A$144:$A$147</xm:f>
          </x14:formula1>
          <xm:sqref>J53:K53</xm:sqref>
        </x14:dataValidation>
        <x14:dataValidation type="list" allowBlank="1" showInputMessage="1" showErrorMessage="1" xr:uid="{00000000-0002-0000-0C00-000001000000}">
          <x14:formula1>
            <xm:f>Formeln_RI_P.10!$A$151:$A$153</xm:f>
          </x14:formula1>
          <xm:sqref>J56:K56</xm:sqref>
        </x14:dataValidation>
        <x14:dataValidation type="list" allowBlank="1" showInputMessage="1" showErrorMessage="1" xr:uid="{00000000-0002-0000-0C00-000002000000}">
          <x14:formula1>
            <xm:f>Formeln_RI_P.10!$A$272:$A$275</xm:f>
          </x14:formula1>
          <xm:sqref>J54:K54</xm:sqref>
        </x14:dataValidation>
        <x14:dataValidation type="list" allowBlank="1" showInputMessage="1" showErrorMessage="1" xr:uid="{00000000-0002-0000-0C00-000003000000}">
          <x14:formula1>
            <xm:f>Formeln_RI_P.10!$B$134:$B$137</xm:f>
          </x14:formula1>
          <xm:sqref>J32:K32</xm:sqref>
        </x14:dataValidation>
        <x14:dataValidation type="list" allowBlank="1" showInputMessage="1" showErrorMessage="1" xr:uid="{00000000-0002-0000-0C00-000004000000}">
          <x14:formula1>
            <xm:f>Formeln_RI_P.10!$A$138:$A$140</xm:f>
          </x14:formula1>
          <xm:sqref>I42:K42</xm:sqref>
        </x14:dataValidation>
        <x14:dataValidation type="list" allowBlank="1" showInputMessage="1" showErrorMessage="1" xr:uid="{00000000-0002-0000-0C00-000005000000}">
          <x14:formula1>
            <xm:f>Formeln_RI_P.10!$A$141:$A$143</xm:f>
          </x14:formula1>
          <xm:sqref>I45:K45</xm:sqref>
        </x14:dataValidation>
        <x14:dataValidation type="list" allowBlank="1" showInputMessage="1" showErrorMessage="1" xr:uid="{00000000-0002-0000-0C00-000006000000}">
          <x14:formula1>
            <xm:f>Formeln_RI_P.10!$A$276:$A$278</xm:f>
          </x14:formula1>
          <xm:sqref>J52:K52</xm:sqref>
        </x14:dataValidation>
        <x14:dataValidation type="list" allowBlank="1" showInputMessage="1" showErrorMessage="1" xr:uid="{00000000-0002-0000-0C00-000007000000}">
          <x14:formula1>
            <xm:f>Formeln!$B$139:$B$142</xm:f>
          </x14:formula1>
          <xm:sqref>J31:K31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F12"/>
  <sheetViews>
    <sheetView workbookViewId="0">
      <selection activeCell="B10" sqref="B10"/>
    </sheetView>
  </sheetViews>
  <sheetFormatPr baseColWidth="10" defaultColWidth="11.44140625" defaultRowHeight="14.4"/>
  <cols>
    <col min="1" max="1" width="10.109375" bestFit="1" customWidth="1"/>
    <col min="2" max="2" width="43.44140625" bestFit="1" customWidth="1"/>
    <col min="3" max="3" width="14.44140625" bestFit="1" customWidth="1"/>
    <col min="4" max="4" width="13.88671875" bestFit="1" customWidth="1"/>
    <col min="5" max="5" width="20.44140625" bestFit="1" customWidth="1"/>
  </cols>
  <sheetData>
    <row r="1" spans="1:6">
      <c r="A1" t="s">
        <v>2339</v>
      </c>
      <c r="B1" t="s">
        <v>2340</v>
      </c>
      <c r="C1" t="s">
        <v>2341</v>
      </c>
      <c r="D1" t="s">
        <v>2342</v>
      </c>
      <c r="E1" t="s">
        <v>2343</v>
      </c>
      <c r="F1" t="s">
        <v>2344</v>
      </c>
    </row>
    <row r="2" spans="1:6">
      <c r="A2" s="228">
        <v>44161</v>
      </c>
      <c r="B2" t="s">
        <v>2345</v>
      </c>
      <c r="C2" t="s">
        <v>2346</v>
      </c>
      <c r="D2" t="s">
        <v>2347</v>
      </c>
      <c r="E2" t="s">
        <v>2348</v>
      </c>
      <c r="F2" t="s">
        <v>2349</v>
      </c>
    </row>
    <row r="3" spans="1:6">
      <c r="A3" s="228">
        <v>44175</v>
      </c>
      <c r="B3" t="s">
        <v>2350</v>
      </c>
      <c r="C3" t="s">
        <v>2351</v>
      </c>
      <c r="D3" t="s">
        <v>2352</v>
      </c>
      <c r="F3" t="s">
        <v>2349</v>
      </c>
    </row>
    <row r="4" spans="1:6">
      <c r="A4" s="228">
        <v>44175</v>
      </c>
      <c r="B4" t="s">
        <v>2350</v>
      </c>
      <c r="C4" t="s">
        <v>2353</v>
      </c>
      <c r="D4" t="s">
        <v>2352</v>
      </c>
      <c r="F4" t="s">
        <v>2349</v>
      </c>
    </row>
    <row r="5" spans="1:6">
      <c r="A5" s="228">
        <v>44203</v>
      </c>
      <c r="B5" t="s">
        <v>2354</v>
      </c>
      <c r="C5" t="s">
        <v>2355</v>
      </c>
      <c r="F5" t="s">
        <v>2349</v>
      </c>
    </row>
    <row r="6" spans="1:6">
      <c r="A6" s="228">
        <v>44252</v>
      </c>
      <c r="B6" t="s">
        <v>2356</v>
      </c>
      <c r="C6" t="s">
        <v>2357</v>
      </c>
      <c r="F6" t="s">
        <v>2358</v>
      </c>
    </row>
    <row r="7" spans="1:6">
      <c r="A7" s="228">
        <v>44252</v>
      </c>
      <c r="B7" t="s">
        <v>2359</v>
      </c>
      <c r="C7" t="s">
        <v>2360</v>
      </c>
      <c r="E7" t="s">
        <v>2361</v>
      </c>
      <c r="F7" t="s">
        <v>2362</v>
      </c>
    </row>
    <row r="8" spans="1:6">
      <c r="A8" s="228">
        <v>44252</v>
      </c>
      <c r="B8" t="s">
        <v>2363</v>
      </c>
      <c r="C8" t="s">
        <v>2360</v>
      </c>
      <c r="E8" t="s">
        <v>2364</v>
      </c>
      <c r="F8" t="s">
        <v>2362</v>
      </c>
    </row>
    <row r="9" spans="1:6">
      <c r="A9" s="228">
        <v>44252</v>
      </c>
      <c r="B9" t="s">
        <v>2365</v>
      </c>
      <c r="C9" t="s">
        <v>2360</v>
      </c>
      <c r="E9" t="s">
        <v>2366</v>
      </c>
      <c r="F9" t="s">
        <v>2362</v>
      </c>
    </row>
    <row r="10" spans="1:6">
      <c r="A10" s="228">
        <v>44252</v>
      </c>
      <c r="B10" t="s">
        <v>2367</v>
      </c>
      <c r="C10" t="s">
        <v>2360</v>
      </c>
      <c r="D10" t="s">
        <v>2368</v>
      </c>
      <c r="E10" t="s">
        <v>2369</v>
      </c>
      <c r="F10" t="s">
        <v>2362</v>
      </c>
    </row>
    <row r="11" spans="1:6">
      <c r="A11" s="228">
        <v>44252</v>
      </c>
      <c r="B11" t="s">
        <v>2370</v>
      </c>
      <c r="C11" t="s">
        <v>2371</v>
      </c>
      <c r="F11" t="s">
        <v>2372</v>
      </c>
    </row>
    <row r="12" spans="1:6">
      <c r="A12" s="228">
        <v>44271</v>
      </c>
      <c r="B12" t="s">
        <v>2373</v>
      </c>
      <c r="C12" t="s">
        <v>2374</v>
      </c>
      <c r="D12" t="s">
        <v>2375</v>
      </c>
      <c r="F12" t="s">
        <v>2362</v>
      </c>
    </row>
  </sheetData>
  <sheetProtection algorithmName="SHA-512" hashValue="oFUDXABMEq5eqMeFZQ+YrunxXL84D6dmw110mSceyc8dSMk1CnEO5LnMjwEhAsw9cT1umJvxv/w7A9dDu5K6xQ==" saltValue="H4cWwsq84SnJnXfxRbqTBQ==" spinCount="100000" sheet="1" objects="1" scenarios="1"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/>
  <dimension ref="A1:G291"/>
  <sheetViews>
    <sheetView topLeftCell="A169" workbookViewId="0">
      <selection activeCell="F191" sqref="F191"/>
    </sheetView>
  </sheetViews>
  <sheetFormatPr baseColWidth="10" defaultColWidth="11.44140625" defaultRowHeight="14.4"/>
  <cols>
    <col min="1" max="1" width="59.109375" bestFit="1" customWidth="1"/>
    <col min="5" max="5" width="47.44140625" bestFit="1" customWidth="1"/>
    <col min="7" max="7" width="47.44140625" bestFit="1" customWidth="1"/>
  </cols>
  <sheetData>
    <row r="1" spans="1:6">
      <c r="A1" s="6"/>
      <c r="F1" s="6"/>
    </row>
    <row r="2" spans="1:6">
      <c r="A2" s="6" t="str">
        <f>VLOOKUP("2,8/25 (1 kg = ca. 570 St.)",Sprachindex!A:Z,Info!$O$6,FALSE)</f>
        <v>2,8/25 (1 kg = ca. 570 St.)</v>
      </c>
      <c r="F2" s="6"/>
    </row>
    <row r="3" spans="1:6">
      <c r="A3" s="6" t="str">
        <f>VLOOKUP("2,8/30 (1 kg = ca. 480 St.)",Sprachindex!A:Z,Info!$O$6,FALSE)</f>
        <v>2,8/30 (1 kg = ca. 480 St.)</v>
      </c>
      <c r="F3" s="6"/>
    </row>
    <row r="4" spans="1:6">
      <c r="A4" s="6" t="str">
        <f>VLOOKUP("2,8/40 (1 kg = ca. 380 St.)",Sprachindex!A:Z,Info!$O$6,FALSE)</f>
        <v>2,8/40 (1 kg = ca. 380 St.)</v>
      </c>
      <c r="F4" s="6"/>
    </row>
    <row r="6" spans="1:6">
      <c r="A6" s="6" t="str">
        <f>VLOOKUP("Länge 26 mm (3.200 Stk/Karton)",Sprachindex!A:Z,Info!$O$6,FALSE)</f>
        <v>Länge 26 mm (3.200 Stk/Karton)</v>
      </c>
      <c r="F6" s="6"/>
    </row>
    <row r="7" spans="1:6">
      <c r="A7" s="6" t="str">
        <f>VLOOKUP("Länge 35 mm (2.400 Stk/Karton)",Sprachindex!A:Z,Info!$O$6,FALSE)</f>
        <v>Länge 35 mm (2.400 Stk/Karton)</v>
      </c>
      <c r="F7" s="6"/>
    </row>
    <row r="8" spans="1:6">
      <c r="A8" s="6" t="str">
        <f>VLOOKUP("Länge 26 mm (3.200 Stk/Karton) NIRO",Sprachindex!A:Z,Info!$O$6,FALSE)</f>
        <v>Länge 26 mm (3.200 Stk/Karton) NIRO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1x250 (A=140 B=85 C=25 mm) 01 braun/02 anthrazit</v>
      </c>
      <c r="E10" s="6"/>
    </row>
    <row r="11" spans="1:6">
      <c r="A11" s="6" t="str">
        <f>VLOOKUP("1x250 (A=140 B=85 C=25 mm)",Sprachindex!A:Z,Info!$O$6,FALSE) &amp; " " &amp; VLOOKUP("03 P.10 schwarz",Sprachindex!A:Z,Info!$O$6,FALSE) &amp; " (" &amp; VLOOKUP("einseitig",Sprachindex!A:Z,Info!$O$6,FALSE) &amp; ")"</f>
        <v>1x250 (A=140 B=85 C=25 mm) 03 P.10 schwarz (einseitig)</v>
      </c>
      <c r="E11" s="6"/>
    </row>
    <row r="12" spans="1:6">
      <c r="A12" s="6" t="str">
        <f>VLOOKUP("1x333 (A=223 B=85 C=25 mm)",Sprachindex!A:Z,Info!$O$6,FALSE) &amp; " " &amp; VLOOKUP("07 hellgrau",Sprachindex!A:Z,Info!$O$6,FALSE) &amp; "/" &amp; VLOOKUP("07 hellgrau",Sprachindex!A:Z,Info!$O$6,FALSE)</f>
        <v>1x333 (A=223 B=85 C=25 mm) 07 hellgrau/07 hellgrau</v>
      </c>
      <c r="E12" s="6"/>
    </row>
    <row r="13" spans="1:6">
      <c r="A13" s="6"/>
      <c r="E13" s="6"/>
    </row>
    <row r="15" spans="1:6">
      <c r="A15" s="6" t="str">
        <f>VLOOKUP("(4,5 x 45 mm, 250 Stk/Pkt)",Sprachindex!A:Z,Info!$O$6,FALSE)</f>
        <v>(4,5 x 45 mm, 250 Stk/Pkt)</v>
      </c>
      <c r="E15" s="6"/>
    </row>
    <row r="16" spans="1:6">
      <c r="A16" s="6" t="str">
        <f>VLOOKUP("(4,5 x 45 mm, 250 Stk/Pkt, blank)",Sprachindex!A:Z,Info!$O$6,FALSE)</f>
        <v>(4,5 x 45 mm, 250 Stk/Pkt, blank)</v>
      </c>
      <c r="E16" s="6"/>
    </row>
    <row r="18" spans="1:5">
      <c r="A18" s="6" t="str">
        <f>VLOOKUP("(4,5 x 60 mm, 100 Stk/Pkt)",Sprachindex!A:Z,Info!$O$6,FALSE)</f>
        <v>(4,5 x 60 mm, 100 Stk/Pkt)</v>
      </c>
      <c r="E18" s="6"/>
    </row>
    <row r="19" spans="1:5">
      <c r="A19" s="6" t="str">
        <f>VLOOKUP("(4,5 x 60 mm, 100 Stk/Pkt, blank)",Sprachindex!A:Z,Info!$O$6,FALSE)</f>
        <v>(4,5 x 60 mm, 100 Stk/Pkt, blank)</v>
      </c>
      <c r="E19" s="6"/>
    </row>
    <row r="21" spans="1:5">
      <c r="A21" s="6" t="str">
        <f>VLOOKUP("glatt",Sprachindex!A:Z,Info!$O$6,FALSE)</f>
        <v>glatt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x 500 mm</v>
      </c>
      <c r="D24" s="6"/>
    </row>
    <row r="25" spans="1:5">
      <c r="A25" s="6" t="str">
        <f>VLOOKUP("0,7 x 650 mm",Sprachindex!A:Z,Info!$O$6,FALSE)</f>
        <v>0,7 x 650 mm</v>
      </c>
      <c r="D25" s="6"/>
    </row>
    <row r="26" spans="1:5">
      <c r="A26" s="6" t="str">
        <f>VLOOKUP("0,7 x 1.000 mm",Sprachindex!A:Z,Info!$O$6,FALSE)</f>
        <v>0,7 x 1.000 mm</v>
      </c>
      <c r="D26" s="6"/>
    </row>
    <row r="28" spans="1:5">
      <c r="A28" s="6" t="s">
        <v>2376</v>
      </c>
    </row>
    <row r="29" spans="1:5">
      <c r="A29" s="6" t="s">
        <v>2377</v>
      </c>
      <c r="C29" t="s">
        <v>2378</v>
      </c>
    </row>
    <row r="30" spans="1:5">
      <c r="A30" s="7" t="s">
        <v>2379</v>
      </c>
    </row>
    <row r="31" spans="1:5">
      <c r="A31" s="6" t="s">
        <v>2380</v>
      </c>
      <c r="B31">
        <v>513980</v>
      </c>
      <c r="C31" t="s">
        <v>2381</v>
      </c>
    </row>
    <row r="32" spans="1:5">
      <c r="A32" s="6" t="s">
        <v>2382</v>
      </c>
      <c r="B32">
        <v>513981</v>
      </c>
      <c r="C32" t="s">
        <v>2383</v>
      </c>
    </row>
    <row r="33" spans="1:3">
      <c r="A33" s="6" t="s">
        <v>2384</v>
      </c>
      <c r="B33">
        <v>513982</v>
      </c>
      <c r="C33" t="s">
        <v>2385</v>
      </c>
    </row>
    <row r="34" spans="1:3">
      <c r="A34" s="158" t="s">
        <v>2386</v>
      </c>
      <c r="B34">
        <v>513983</v>
      </c>
      <c r="C34" t="s">
        <v>2387</v>
      </c>
    </row>
    <row r="35" spans="1:3">
      <c r="A35" s="6" t="s">
        <v>2388</v>
      </c>
      <c r="B35">
        <v>513984</v>
      </c>
      <c r="C35" t="s">
        <v>2389</v>
      </c>
    </row>
    <row r="36" spans="1:3">
      <c r="A36" s="7" t="s">
        <v>2390</v>
      </c>
      <c r="B36">
        <v>513985</v>
      </c>
      <c r="C36" t="s">
        <v>2391</v>
      </c>
    </row>
    <row r="37" spans="1:3">
      <c r="A37" s="6" t="s">
        <v>2392</v>
      </c>
      <c r="B37">
        <v>513986</v>
      </c>
      <c r="C37" t="s">
        <v>2393</v>
      </c>
    </row>
    <row r="38" spans="1:3">
      <c r="A38" s="6" t="s">
        <v>2394</v>
      </c>
      <c r="B38">
        <v>513987</v>
      </c>
      <c r="C38" t="s">
        <v>2395</v>
      </c>
    </row>
    <row r="39" spans="1:3">
      <c r="A39" s="6" t="s">
        <v>2396</v>
      </c>
      <c r="B39">
        <v>513988</v>
      </c>
      <c r="C39" t="s">
        <v>2397</v>
      </c>
    </row>
    <row r="40" spans="1:3">
      <c r="A40" s="7" t="s">
        <v>2398</v>
      </c>
      <c r="B40">
        <v>513989</v>
      </c>
      <c r="C40" t="s">
        <v>2399</v>
      </c>
    </row>
    <row r="41" spans="1:3">
      <c r="A41" s="6" t="s">
        <v>2400</v>
      </c>
    </row>
    <row r="42" spans="1:3">
      <c r="A42" s="6" t="s">
        <v>2401</v>
      </c>
    </row>
    <row r="43" spans="1:3">
      <c r="A43" s="6" t="s">
        <v>2402</v>
      </c>
    </row>
    <row r="44" spans="1:3">
      <c r="A44" s="6" t="s">
        <v>2403</v>
      </c>
    </row>
    <row r="45" spans="1:3">
      <c r="A45" s="7" t="s">
        <v>2404</v>
      </c>
    </row>
    <row r="46" spans="1:3">
      <c r="A46" s="6" t="s">
        <v>2405</v>
      </c>
    </row>
    <row r="47" spans="1:3">
      <c r="A47" s="6" t="s">
        <v>2406</v>
      </c>
    </row>
    <row r="48" spans="1:3">
      <c r="A48" s="6" t="s">
        <v>2407</v>
      </c>
    </row>
    <row r="50" spans="1:7">
      <c r="A50" s="6" t="str">
        <f>VLOOKUP("MIT Wärmedämmung",Sprachindex!A:Z,Info!$O$6,FALSE)</f>
        <v>MIT Wärmedämmung</v>
      </c>
      <c r="C50" s="6" t="str">
        <f>VLOOKUP("MIT Wärmedämmung",Sprachindex!A:Z,Info!$O$6,FALSE)</f>
        <v>MIT Wärmedämmung</v>
      </c>
      <c r="D50" s="6"/>
    </row>
    <row r="51" spans="1:7">
      <c r="A51" s="6" t="s">
        <v>2408</v>
      </c>
      <c r="C51" s="6" t="s">
        <v>2409</v>
      </c>
    </row>
    <row r="52" spans="1:7">
      <c r="A52" s="6" t="s">
        <v>2410</v>
      </c>
      <c r="C52" s="6" t="s">
        <v>2411</v>
      </c>
    </row>
    <row r="53" spans="1:7">
      <c r="A53" s="7" t="s">
        <v>2412</v>
      </c>
      <c r="C53" s="6" t="s">
        <v>2413</v>
      </c>
    </row>
    <row r="54" spans="1:7">
      <c r="A54" s="6" t="s">
        <v>2414</v>
      </c>
      <c r="C54" s="6" t="s">
        <v>2415</v>
      </c>
    </row>
    <row r="55" spans="1:7">
      <c r="A55" s="6" t="s">
        <v>2416</v>
      </c>
      <c r="C55" s="6" t="s">
        <v>2417</v>
      </c>
    </row>
    <row r="56" spans="1:7">
      <c r="A56" s="6" t="s">
        <v>2418</v>
      </c>
      <c r="C56" s="6" t="s">
        <v>2419</v>
      </c>
    </row>
    <row r="57" spans="1:7">
      <c r="A57" s="158" t="s">
        <v>2420</v>
      </c>
      <c r="C57" s="6" t="s">
        <v>2421</v>
      </c>
    </row>
    <row r="58" spans="1:7">
      <c r="A58" s="6" t="s">
        <v>2422</v>
      </c>
      <c r="C58" s="6" t="s">
        <v>2423</v>
      </c>
    </row>
    <row r="59" spans="1:7">
      <c r="A59" s="7" t="s">
        <v>2424</v>
      </c>
      <c r="C59" s="6" t="s">
        <v>2425</v>
      </c>
    </row>
    <row r="60" spans="1:7">
      <c r="A60" s="6" t="s">
        <v>2426</v>
      </c>
      <c r="C60" s="6" t="s">
        <v>2427</v>
      </c>
      <c r="G60" s="6"/>
    </row>
    <row r="61" spans="1:7">
      <c r="A61" s="7" t="s">
        <v>2428</v>
      </c>
      <c r="C61" s="6" t="s">
        <v>2429</v>
      </c>
      <c r="G61" s="6"/>
    </row>
    <row r="62" spans="1:7">
      <c r="A62" s="6" t="s">
        <v>2430</v>
      </c>
      <c r="C62" s="6" t="s">
        <v>2431</v>
      </c>
      <c r="G62" s="6"/>
    </row>
    <row r="63" spans="1:7">
      <c r="A63" s="6" t="s">
        <v>2432</v>
      </c>
      <c r="C63" s="6" t="s">
        <v>2433</v>
      </c>
      <c r="G63" s="6"/>
    </row>
    <row r="64" spans="1:7">
      <c r="A64" s="7" t="s">
        <v>2434</v>
      </c>
      <c r="C64" s="6" t="s">
        <v>2435</v>
      </c>
      <c r="G64" s="6"/>
    </row>
    <row r="65" spans="1:7">
      <c r="A65" s="6" t="s">
        <v>2436</v>
      </c>
      <c r="C65" s="6" t="s">
        <v>2437</v>
      </c>
      <c r="G65" s="6"/>
    </row>
    <row r="66" spans="1:7">
      <c r="A66" s="6" t="s">
        <v>2438</v>
      </c>
      <c r="C66" s="6" t="s">
        <v>2439</v>
      </c>
    </row>
    <row r="67" spans="1:7">
      <c r="A67" s="6" t="s">
        <v>2440</v>
      </c>
      <c r="C67" s="6" t="s">
        <v>2441</v>
      </c>
    </row>
    <row r="68" spans="1:7">
      <c r="A68" s="6" t="s">
        <v>2442</v>
      </c>
      <c r="C68" s="6" t="s">
        <v>2443</v>
      </c>
    </row>
    <row r="69" spans="1:7">
      <c r="A69" s="6" t="s">
        <v>2444</v>
      </c>
      <c r="C69" s="6" t="s">
        <v>2445</v>
      </c>
    </row>
    <row r="70" spans="1:7">
      <c r="A70" s="6" t="s">
        <v>2446</v>
      </c>
      <c r="C70" s="6" t="s">
        <v>2447</v>
      </c>
    </row>
    <row r="71" spans="1:7">
      <c r="A71" s="7" t="s">
        <v>2448</v>
      </c>
      <c r="C71" s="6" t="s">
        <v>2449</v>
      </c>
    </row>
    <row r="72" spans="1:7">
      <c r="A72" s="6" t="s">
        <v>2450</v>
      </c>
      <c r="C72" s="6" t="s">
        <v>2451</v>
      </c>
    </row>
    <row r="73" spans="1:7">
      <c r="A73" s="6" t="s">
        <v>2452</v>
      </c>
      <c r="C73" s="6" t="s">
        <v>2453</v>
      </c>
    </row>
    <row r="74" spans="1:7">
      <c r="A74" s="6" t="s">
        <v>2454</v>
      </c>
      <c r="C74" s="6" t="s">
        <v>2455</v>
      </c>
    </row>
    <row r="75" spans="1:7">
      <c r="A75" s="6"/>
      <c r="C75" s="6" t="s">
        <v>2456</v>
      </c>
    </row>
    <row r="76" spans="1:7">
      <c r="A76" s="6" t="str">
        <f>VLOOKUP("OHNE Wärmedämmung",Sprachindex!A:Z,Info!$O$6,FALSE)</f>
        <v>OHNE Wärmedämmung</v>
      </c>
      <c r="C76" s="6" t="s">
        <v>2457</v>
      </c>
      <c r="D76" s="6"/>
    </row>
    <row r="77" spans="1:7">
      <c r="A77" s="6" t="s">
        <v>2458</v>
      </c>
      <c r="C77" s="6" t="s">
        <v>2459</v>
      </c>
    </row>
    <row r="78" spans="1:7">
      <c r="A78" s="6" t="s">
        <v>2460</v>
      </c>
      <c r="C78" s="6" t="s">
        <v>2461</v>
      </c>
    </row>
    <row r="79" spans="1:7">
      <c r="A79" s="6" t="s">
        <v>2462</v>
      </c>
    </row>
    <row r="80" spans="1:7">
      <c r="A80" s="6" t="s">
        <v>2463</v>
      </c>
      <c r="C80" s="6" t="str">
        <f>VLOOKUP("OHNE Wärmedämmung",Sprachindex!A:Z,Info!$O$6,FALSE)</f>
        <v>OHNE Wärmedämmung</v>
      </c>
    </row>
    <row r="81" spans="1:3">
      <c r="A81" s="6" t="s">
        <v>2464</v>
      </c>
      <c r="C81" s="6" t="s">
        <v>2465</v>
      </c>
    </row>
    <row r="82" spans="1:3">
      <c r="A82" s="6" t="s">
        <v>2466</v>
      </c>
      <c r="C82" s="6" t="s">
        <v>2467</v>
      </c>
    </row>
    <row r="83" spans="1:3">
      <c r="A83" s="6" t="s">
        <v>2468</v>
      </c>
      <c r="C83" s="6" t="s">
        <v>2469</v>
      </c>
    </row>
    <row r="84" spans="1:3">
      <c r="A84" s="6" t="s">
        <v>2470</v>
      </c>
      <c r="C84" s="6" t="s">
        <v>2471</v>
      </c>
    </row>
    <row r="85" spans="1:3">
      <c r="A85" s="6" t="s">
        <v>2472</v>
      </c>
      <c r="C85" s="6" t="s">
        <v>2473</v>
      </c>
    </row>
    <row r="86" spans="1:3">
      <c r="A86" s="6" t="s">
        <v>2474</v>
      </c>
      <c r="C86" s="6" t="s">
        <v>2475</v>
      </c>
    </row>
    <row r="87" spans="1:3">
      <c r="A87" s="6" t="s">
        <v>2476</v>
      </c>
      <c r="C87" s="6" t="s">
        <v>2477</v>
      </c>
    </row>
    <row r="88" spans="1:3">
      <c r="A88" s="6" t="s">
        <v>2478</v>
      </c>
      <c r="C88" s="6" t="s">
        <v>2479</v>
      </c>
    </row>
    <row r="89" spans="1:3">
      <c r="A89" s="6" t="s">
        <v>2480</v>
      </c>
      <c r="C89" s="6" t="s">
        <v>2481</v>
      </c>
    </row>
    <row r="90" spans="1:3">
      <c r="A90" s="6" t="s">
        <v>2482</v>
      </c>
      <c r="C90" s="6" t="s">
        <v>2483</v>
      </c>
    </row>
    <row r="91" spans="1:3">
      <c r="A91" s="6" t="s">
        <v>2484</v>
      </c>
      <c r="C91" s="6" t="s">
        <v>2485</v>
      </c>
    </row>
    <row r="92" spans="1:3">
      <c r="A92" s="6" t="s">
        <v>2486</v>
      </c>
      <c r="C92" s="6" t="s">
        <v>2487</v>
      </c>
    </row>
    <row r="93" spans="1:3">
      <c r="A93" s="6" t="s">
        <v>2488</v>
      </c>
      <c r="C93" s="6" t="s">
        <v>2489</v>
      </c>
    </row>
    <row r="94" spans="1:3">
      <c r="A94" s="6" t="s">
        <v>2490</v>
      </c>
      <c r="C94" s="6" t="s">
        <v>2491</v>
      </c>
    </row>
    <row r="95" spans="1:3">
      <c r="A95" s="6" t="s">
        <v>2492</v>
      </c>
      <c r="C95" s="6" t="s">
        <v>2493</v>
      </c>
    </row>
    <row r="96" spans="1:3">
      <c r="A96" s="6" t="s">
        <v>2494</v>
      </c>
      <c r="C96" s="6" t="s">
        <v>2495</v>
      </c>
    </row>
    <row r="97" spans="1:4">
      <c r="A97" s="6" t="s">
        <v>2496</v>
      </c>
      <c r="C97" s="6" t="s">
        <v>2497</v>
      </c>
    </row>
    <row r="98" spans="1:4">
      <c r="A98" s="6" t="s">
        <v>2498</v>
      </c>
      <c r="C98" s="6" t="s">
        <v>2499</v>
      </c>
    </row>
    <row r="99" spans="1:4">
      <c r="A99" s="6" t="s">
        <v>2500</v>
      </c>
      <c r="C99" s="6" t="s">
        <v>2501</v>
      </c>
    </row>
    <row r="100" spans="1:4">
      <c r="A100" s="6" t="s">
        <v>2502</v>
      </c>
      <c r="C100" s="6" t="s">
        <v>2503</v>
      </c>
    </row>
    <row r="101" spans="1:4">
      <c r="C101" s="6" t="s">
        <v>2504</v>
      </c>
    </row>
    <row r="102" spans="1:4">
      <c r="A102" s="6" t="str">
        <f>VLOOKUP("Maße:",Sprachindex!A:Z,Info!$O$6,FALSE)</f>
        <v>Maße:</v>
      </c>
      <c r="C102" s="6" t="s">
        <v>2505</v>
      </c>
      <c r="D102" s="6"/>
    </row>
    <row r="103" spans="1:4">
      <c r="C103" s="6" t="s">
        <v>2506</v>
      </c>
    </row>
    <row r="104" spans="1:4">
      <c r="A104" s="6" t="str">
        <f>VLOOKUP("moosgrün/hellgrau",Sprachindex!A:Z,Info!$O$6,FALSE)</f>
        <v>moosgrün/hellgrau</v>
      </c>
      <c r="C104" s="6" t="s">
        <v>2507</v>
      </c>
      <c r="D104" s="6"/>
    </row>
    <row r="105" spans="1:4">
      <c r="A105" s="6" t="str">
        <f>VLOOKUP("braun/anthrazit",Sprachindex!A:Z,Info!$O$6,FALSE)</f>
        <v>braun/anthrazit</v>
      </c>
      <c r="C105" s="6" t="s">
        <v>2508</v>
      </c>
      <c r="D105" s="6"/>
    </row>
    <row r="106" spans="1:4">
      <c r="A106" s="6" t="str">
        <f>VLOOKUP("ziegelrot/oxydrot",Sprachindex!A:Z,Info!$O$6,FALSE)</f>
        <v>ziegelrot/oxydrot</v>
      </c>
      <c r="C106" s="6" t="s">
        <v>2509</v>
      </c>
      <c r="D106" s="6"/>
    </row>
    <row r="107" spans="1:4">
      <c r="A107" s="6" t="str">
        <f>VLOOKUP("prefaweiß/prefaweiß",Sprachindex!A:Z,Info!$O$6,FALSE)</f>
        <v>prefaweiß/prefaweiß</v>
      </c>
      <c r="C107" s="6" t="s">
        <v>2510</v>
      </c>
      <c r="D107" s="6"/>
    </row>
    <row r="108" spans="1:4">
      <c r="A108" s="6" t="str">
        <f>VLOOKUP("13 naturblank",Sprachindex!A:Z,Info!$O$6,FALSE)</f>
        <v>13 naturblank</v>
      </c>
      <c r="C108" s="6" t="s">
        <v>2511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STK</v>
      </c>
    </row>
    <row r="112" spans="1:4">
      <c r="A112" s="6" t="str">
        <f>VLOOKUP("lfm",Sprachindex!A:Z,Info!$O$6,FALSE)</f>
        <v>lfm</v>
      </c>
    </row>
    <row r="113" spans="1:3">
      <c r="A113" s="6" t="str">
        <f>VLOOKUP("Karton",Sprachindex!A:Z,Info!$O$6,FALSE)</f>
        <v>Karton</v>
      </c>
    </row>
    <row r="114" spans="1:3">
      <c r="A114" s="6" t="str">
        <f>VLOOKUP("kg",Sprachindex!A:Z,Info!$O$6,FALSE)</f>
        <v>kg</v>
      </c>
    </row>
    <row r="115" spans="1:3">
      <c r="A115" s="6" t="str">
        <f>VLOOKUP("Rolle",Sprachindex!A:Z,Info!$O$6,FALSE)</f>
        <v>Rolle</v>
      </c>
    </row>
    <row r="116" spans="1:3">
      <c r="A116" s="6" t="str">
        <f>VLOOKUP("Rollen",Sprachindex!A:Z,Info!$O$6,FALSE)</f>
        <v>Rollen</v>
      </c>
    </row>
    <row r="117" spans="1:3">
      <c r="A117" s="6" t="s">
        <v>2512</v>
      </c>
    </row>
    <row r="118" spans="1:3">
      <c r="A118" s="6" t="str">
        <f>VLOOKUP("Magazin",Sprachindex!A:Z,Info!$O$6,FALSE)</f>
        <v>Magazin</v>
      </c>
    </row>
    <row r="119" spans="1:3">
      <c r="A119" s="6" t="str">
        <f>VLOOKUP("Set",Sprachindex!A:Z,Info!$O$6,FALSE)</f>
        <v>Set</v>
      </c>
    </row>
    <row r="120" spans="1:3">
      <c r="A120" s="6" t="str">
        <f>VLOOKUP("Sets",Sprachindex!A:Z,Info!$O$6,FALSE)</f>
        <v>Sets</v>
      </c>
    </row>
    <row r="122" spans="1:3">
      <c r="A122" s="6" t="str">
        <f>VLOOKUP("braun/anthrazit",Sprachindex!A:Z,Info!$O$6,FALSE)</f>
        <v>braun/anthrazit</v>
      </c>
      <c r="C122" s="15"/>
    </row>
    <row r="123" spans="1:3">
      <c r="A123" s="6" t="str">
        <f>VLOOKUP("hellgrau/hellgrau",Sprachindex!A:Z,Info!$O$6,FALSE)</f>
        <v>hellgrau/hellgrau</v>
      </c>
      <c r="C123" s="15"/>
    </row>
    <row r="125" spans="1:3">
      <c r="A125" s="6" t="str">
        <f>VLOOKUP("01 P.10 braun",Sprachindex!A:Z,Info!$O$6,FALSE)</f>
        <v>01 P.10 braun</v>
      </c>
    </row>
    <row r="126" spans="1:3">
      <c r="A126" s="6" t="str">
        <f>VLOOKUP("02 P.10 anthrazit",Sprachindex!A:Z,Info!$O$6,FALSE)</f>
        <v>02 P.10 anthrazit</v>
      </c>
    </row>
    <row r="127" spans="1:3">
      <c r="A127" s="6" t="str">
        <f>VLOOKUP("03 P.10 schwarz",Sprachindex!A:Z,Info!$O$6,FALSE)</f>
        <v>03 P.10 schwarz</v>
      </c>
    </row>
    <row r="128" spans="1:3">
      <c r="A128" s="6" t="str">
        <f>VLOOKUP("04 P.10 ziegelrot",Sprachindex!A:Z,Info!$O$6,FALSE)</f>
        <v>04 P.10 ziegelrot</v>
      </c>
    </row>
    <row r="129" spans="1:4">
      <c r="A129" s="6" t="str">
        <f>VLOOKUP("05 P.10 oxydrot",Sprachindex!A:Z,Info!$O$6,FALSE)</f>
        <v>05 P.10 oxydrot</v>
      </c>
    </row>
    <row r="130" spans="1:4">
      <c r="A130" s="6" t="str">
        <f>VLOOKUP("06 P.10 moosgrün",Sprachindex!A:Z,Info!$O$6,FALSE)</f>
        <v>06 P.10 moosgrün</v>
      </c>
      <c r="D130" s="83"/>
    </row>
    <row r="131" spans="1:4">
      <c r="A131" s="6" t="str">
        <f>VLOOKUP("07 P.10 hellgrau ",Sprachindex!A:Z,Info!$O$6,FALSE)</f>
        <v xml:space="preserve">07 P.10 hellgrau </v>
      </c>
      <c r="D131" s="84"/>
    </row>
    <row r="132" spans="1:4">
      <c r="A132" s="6" t="str">
        <f>VLOOKUP("11 P.10 nussbraun",Sprachindex!A:Z,Info!$O$6,FALSE)</f>
        <v>11 P.10 nussbraun</v>
      </c>
    </row>
    <row r="133" spans="1:4">
      <c r="A133" s="6" t="str">
        <f>VLOOKUP("19 P.10 dunkelgrau",Sprachindex!A:Z,Info!$O$6,FALSE)</f>
        <v>19 P.10 dunkelgrau</v>
      </c>
    </row>
    <row r="134" spans="1:4">
      <c r="A134" s="6" t="str">
        <f>VLOOKUP("43 P.10 steingrau",Sprachindex!A:Z,Info!$O$6,FALSE)</f>
        <v>43 P.10 steingrau</v>
      </c>
    </row>
    <row r="137" spans="1:4">
      <c r="A137" s="15" t="e">
        <f>VLOOKUP("PREFA Dachlukendeckel mit Holzrahmen
(Innenmass 600x600mm)",Sprachindex!A:Z,Info!$O$6,FALSE)</f>
        <v>#N/A</v>
      </c>
    </row>
    <row r="138" spans="1:4">
      <c r="A138" s="15" t="e">
        <f>VLOOKUP("PREFA Holzrahmen
(Innenmass 600 x 600 mm)",Sprachindex!A:Z,Info!$O$6,FALSE)</f>
        <v>#N/A</v>
      </c>
    </row>
    <row r="139" spans="1:4">
      <c r="A139" s="15" t="e">
        <f>VLOOKUP("PREFA Dachlukendeckel
(Innenmass 600 x 600 mm)",Sprachindex!A:Z,Info!$O$6,FALSE)</f>
        <v>#N/A</v>
      </c>
    </row>
    <row r="140" spans="1:4">
      <c r="B140" t="str">
        <f>VLOOKUP("600 mm",Sprachindex!A:Z,Info!$O$6,FALSE)</f>
        <v>600 mm</v>
      </c>
    </row>
    <row r="141" spans="1:4">
      <c r="A141" t="str">
        <f>VLOOKUP("1.500 mm",Sprachindex!A:Z,Info!$O$6,FALSE)</f>
        <v>1.500 mm</v>
      </c>
      <c r="B141" t="str">
        <f>VLOOKUP("1.500 mm",Sprachindex!A:Z,Info!$O$6,FALSE)</f>
        <v>1.500 mm</v>
      </c>
    </row>
    <row r="142" spans="1:4">
      <c r="A142" t="str">
        <f>VLOOKUP("3.000 mm",Sprachindex!A:Z,Info!$O$6,FALSE)</f>
        <v>3.000 mm</v>
      </c>
      <c r="B142" t="str">
        <f>VLOOKUP("3.000 mm",Sprachindex!A:Z,Info!$O$6,FALSE)</f>
        <v>3.000 mm</v>
      </c>
    </row>
    <row r="144" spans="1:4">
      <c r="A144" t="str">
        <f>VLOOKUP("⌀ 100 mm passend für HT/KG (NW 110 mm)",Sprachindex!A:Z,Info!$O$6,FALSE)</f>
        <v>⌀ 100 mm passend für HT/KG (NW 110 mm)</v>
      </c>
    </row>
    <row r="145" spans="1:5">
      <c r="A145" t="str">
        <f>VLOOKUP("⌀ 115 mm passend für HT/KG (NW 125 mm)",Sprachindex!A:Z,Info!$O$6,FALSE)</f>
        <v>⌀ 115 mm passend für HT/KG (NW 125 mm)</v>
      </c>
    </row>
    <row r="147" spans="1:5">
      <c r="A147" t="str">
        <f>VLOOKUP("333 mm / 100 × 100 mm",Sprachindex!A:Z,Info!$O$6,FALSE)</f>
        <v>333 mm / 100 × 100 mm</v>
      </c>
    </row>
    <row r="148" spans="1:5">
      <c r="A148" t="str">
        <f>VLOOKUP("400 mm / 100 × 100 mm",Sprachindex!A:Z,Info!$O$6,FALSE)</f>
        <v>400 mm / 100 × 100 mm</v>
      </c>
    </row>
    <row r="150" spans="1:5">
      <c r="A150" t="str">
        <f>VLOOKUP("140 mm",Sprachindex!A:Z,Info!$O$6,FALSE)</f>
        <v>140 mm</v>
      </c>
    </row>
    <row r="151" spans="1:5">
      <c r="A151" t="str">
        <f>VLOOKUP("200 mm",Sprachindex!A:Z,Info!$O$6,FALSE)</f>
        <v>200 mm</v>
      </c>
    </row>
    <row r="152" spans="1:5">
      <c r="A152" t="str">
        <f>VLOOKUP("330 mm",Sprachindex!A:Z,Info!$O$6,FALSE)</f>
        <v>330 mm</v>
      </c>
    </row>
    <row r="154" spans="1:5">
      <c r="A154" t="str">
        <f>VLOOKUP("100–160 mm",Sprachindex!A:Z,Info!$O$6,FALSE)</f>
        <v>100–160 mm</v>
      </c>
    </row>
    <row r="155" spans="1:5">
      <c r="A155" t="str">
        <f>VLOOKUP("180–220 mm",Sprachindex!A:Z,Info!$O$6,FALSE)</f>
        <v>180–220 mm</v>
      </c>
    </row>
    <row r="157" spans="1:5">
      <c r="A157" t="str">
        <f>VLOOKUP("100–180 mm",Sprachindex!A:Z,Info!$O$6,FALSE)</f>
        <v>100–180 mm</v>
      </c>
      <c r="E157" t="s">
        <v>2513</v>
      </c>
    </row>
    <row r="158" spans="1:5">
      <c r="A158" t="str">
        <f>VLOOKUP("180–260 mm",Sprachindex!A:Z,Info!$O$6,FALSE)</f>
        <v>180–260 mm</v>
      </c>
      <c r="E158" s="23" t="s">
        <v>2514</v>
      </c>
    </row>
    <row r="159" spans="1:5">
      <c r="E159" s="23"/>
    </row>
    <row r="160" spans="1:5">
      <c r="A160" t="str">
        <f>VLOOKUP("3 m",Sprachindex!A:Z,Info!$O$6,FALSE)</f>
        <v>3 m</v>
      </c>
      <c r="B160" s="15" t="str">
        <f>IF(RI!N24=1,RI!G25,IF(RI!N24=2,RI!G26,IF(RI!N24=3,RI!G27,IF(RI!N24=4,RI!G28,IF(RI!N24=5,VLOOKUP("Dimension nicht möglich",Sprachindex!A:Z,Info!$O$6,FALSE),"")))))</f>
        <v/>
      </c>
      <c r="E160" s="23" t="str">
        <f>IF(RI!N24=0,"",IF(B160= "Dimension nicht möglich","",A160))</f>
        <v/>
      </c>
    </row>
    <row r="161" spans="1:5">
      <c r="A161" t="str">
        <f>VLOOKUP("6 m",Sprachindex!A:Z,Info!$O$6,FALSE)</f>
        <v>6 m</v>
      </c>
      <c r="B161" s="15" t="str">
        <f>IF(RI!N24=1,RI!G25,IF(RI!N24=2,RI!G26,IF(RI!N24=3,RI!G27,IF(RI!N24=4,RI!G28,IF(RI!N24=5,VLOOKUP("Dimension nicht möglich",Sprachindex!A:Z,Info!$O$6,FALSE),"")))))</f>
        <v/>
      </c>
      <c r="E161" s="23" t="str">
        <f>IF(RI!N24=0,"",IF(B161= "Dimension nicht möglich","",A161))</f>
        <v/>
      </c>
    </row>
    <row r="162" spans="1:5">
      <c r="B162" s="15"/>
    </row>
    <row r="163" spans="1:5">
      <c r="B163" s="15"/>
      <c r="E163" s="23" t="s">
        <v>2515</v>
      </c>
    </row>
    <row r="164" spans="1:5">
      <c r="E164" s="25"/>
    </row>
    <row r="165" spans="1:5">
      <c r="A165" t="str">
        <f>VLOOKUP("normal",Sprachindex!A:Z,Info!$O$6,FALSE)</f>
        <v>normal</v>
      </c>
      <c r="B165" t="str">
        <f>IF(RI!N24=1,RI!G25,IF(RI!N24=2,RI!G26,IF(RI!N24=3,RI!G27,IF(RI!N24=4,RI!G28,IF(RI!N24=5,VLOOKUP("Dimension nicht möglich",Sprachindex!A:Z,Info!$O$6,FALSE),"")))))</f>
        <v/>
      </c>
      <c r="E165" s="25" t="str">
        <f>IF(RI!N24=0,"",IF(RI!N24=5,"",A165))</f>
        <v/>
      </c>
    </row>
    <row r="166" spans="1:5">
      <c r="A166" t="str">
        <f>VLOOKUP("kurz",Sprachindex!A:Z,Info!$O$6,FALSE)</f>
        <v>kurz</v>
      </c>
      <c r="B166" t="str">
        <f>IF(RI!N24=1,RI!G25,IF(RI!N24=2,RI!G26,IF(RI!N24=3,RI!G27,IF(RI!N24=4,RI!G28,IF(RI!N24=5,VLOOKUP("Dimension nicht möglich",Sprachindex!A:Z,Info!$O$6,FALSE),"")))))</f>
        <v/>
      </c>
      <c r="E166" s="25" t="str">
        <f>IF(RI!N24=0,"",IF(RI!N24=4,"",IF(RI!N24=5,"",A166)))</f>
        <v/>
      </c>
    </row>
    <row r="167" spans="1:5">
      <c r="A167" t="str">
        <f>VLOOKUP("lang",Sprachindex!A:Z,Info!$O$6,FALSE)</f>
        <v>lang</v>
      </c>
      <c r="B167" t="str">
        <f>IF(RI!N24=1,RI!G25,IF(RI!N24=2,RI!G26,IF(RI!N24=3,RI!G27,IF(RI!N24=4,RI!G28,IF(RI!N24=5,VLOOKUP("Dimension nicht möglich",Sprachindex!A:Z,Info!$O$6,FALSE),"")))))</f>
        <v/>
      </c>
      <c r="E167" s="23" t="str">
        <f>IF(RI!N24=0,"",IF(RI!N24=1,"",IF(RI!N24=4,"",IF(RI!N24=5,"",A167))))</f>
        <v/>
      </c>
    </row>
    <row r="169" spans="1:5">
      <c r="E169" s="23" t="s">
        <v>2516</v>
      </c>
    </row>
    <row r="170" spans="1:5">
      <c r="E170" s="23"/>
    </row>
    <row r="171" spans="1:5">
      <c r="A171" t="str">
        <f>VLOOKUP("6 m",Sprachindex!A:Z,Info!$O$6,FALSE)</f>
        <v>6 m</v>
      </c>
      <c r="B171" t="str">
        <f>IF(RI!N24=1,RI!G25,IF(RI!N24=2,RI!G26,IF(RI!N24=3,RI!G27,IF(RI!N24=4,RI!G28,IF(RI!N24=5,RI!G29,"")))))</f>
        <v/>
      </c>
      <c r="E171" s="23" t="str">
        <f>IF(RI!N24=0,"",B171 &amp; ", " &amp;A171)</f>
        <v/>
      </c>
    </row>
    <row r="172" spans="1:5">
      <c r="A172" t="str">
        <f>VLOOKUP("3 m",Sprachindex!A:Z,Info!$O$6,FALSE)</f>
        <v>3 m</v>
      </c>
      <c r="B172" t="str">
        <f>IF(RI!N24=1,RI!G25,IF(RI!N24=2,RI!G26,IF(RI!N24=3,RI!G27,IF(RI!N24=4,RI!G28,IF(RI!N24=5,RI!G29,"")))))</f>
        <v/>
      </c>
      <c r="E172" s="23" t="str">
        <f>IF(RI!N24=0,"",IF(RI!N24=4,"",B172 &amp; ", " &amp;A172))</f>
        <v/>
      </c>
    </row>
    <row r="174" spans="1:5">
      <c r="A174" s="22" t="str">
        <f>VLOOKUP("Dimension nicht möglich",Sprachindex!A:Z,Info!$O$6,FALSE)</f>
        <v>Dimension nicht möglich</v>
      </c>
      <c r="E174" s="23" t="s">
        <v>2517</v>
      </c>
    </row>
    <row r="175" spans="1:5">
      <c r="E175" s="23"/>
    </row>
    <row r="176" spans="1:5">
      <c r="A176" t="str">
        <f>VLOOKUP("normal",Sprachindex!A:Z,Info!$O$6,FALSE)</f>
        <v>normal</v>
      </c>
      <c r="B176" t="str">
        <f>IF(RI!N24=1,RI!G25,IF(RI!N24=2,RI!G26,IF(RI!N24=3,RI!G27,IF(RI!N24=4,RI!G28,IF(RI!N24=5,VLOOKUP("Dimension nicht möglich",Sprachindex!A:Z,Info!$O$6,FALSE),"")))))</f>
        <v/>
      </c>
      <c r="E176" s="23" t="str">
        <f>IF(RI!N24=3, A176,IF(RI!N24=4,A176,IF(RI!N24=2, A176,"")))</f>
        <v/>
      </c>
    </row>
    <row r="177" spans="1:7">
      <c r="A177" t="str">
        <f>VLOOKUP("kurz",Sprachindex!A:Z,Info!$O$6,FALSE)</f>
        <v>kurz</v>
      </c>
      <c r="B177" t="str">
        <f>IF(RI!N24=1,RI!G25,IF(RI!N24=2,RI!G26,IF(RI!N24=3,RI!G27,IF(RI!N24=4,RI!G28,IF(RI!N24=5,VLOOKUP("Dimension nicht möglich",Sprachindex!A:Z,Info!$O$6,FALSE),"")))))</f>
        <v/>
      </c>
      <c r="E177" t="str">
        <f>IF(RI!N24=3,A177,"")</f>
        <v/>
      </c>
    </row>
    <row r="179" spans="1:7">
      <c r="A179" s="23" t="s">
        <v>2518</v>
      </c>
      <c r="B179" s="23"/>
    </row>
    <row r="180" spans="1:7">
      <c r="A180" s="23" t="str">
        <f>IF(RI!N24=0,"",IF(RI!N24=1,RI!G25,IF(RI!N24=2,RI!G26,IF(RI!N24=3,RI!G27,IF(RI!N24=4,RI!G28,IF(RI!N24=5,VLOOKUP("Dimension nicht möglich",Sprachindex!A:Z,Info!$O$6,FALSE),""))))))</f>
        <v/>
      </c>
      <c r="B180" s="23"/>
    </row>
    <row r="182" spans="1:7">
      <c r="A182" s="23" t="s">
        <v>2519</v>
      </c>
      <c r="B182" s="23"/>
    </row>
    <row r="183" spans="1:7">
      <c r="A183" s="23" t="str">
        <f>IF(RI!N24=0,"",IF(RI!N24=1,RI!G25,IF(RI!N24=5,RI!G29,IF(RI!N24=3,RI!G27,IF(RI!N24=4,RI!G28,IF(RI!N24=2,VLOOKUP("Dimension nicht möglich",Sprachindex!A:Z,Info!$O$6,FALSE),A174))))))</f>
        <v/>
      </c>
      <c r="B183" s="23"/>
    </row>
    <row r="185" spans="1:7">
      <c r="A185" s="23" t="s">
        <v>2520</v>
      </c>
      <c r="B185" s="23"/>
    </row>
    <row r="186" spans="1:7">
      <c r="A186" s="23" t="str">
        <f>IF(RI!N24=0,"",IF(RI!N24=1,RI!G25,IF(RI!N24=3,RI!G27,IF(RI!N24=4,RI!G28,A174))))</f>
        <v/>
      </c>
      <c r="B186" s="23"/>
    </row>
    <row r="189" spans="1:7">
      <c r="A189" t="str">
        <f>IF(AND(RI!N24=1,RI!N25=2),Formeln!E189 &amp; " x " &amp; Formeln!F190,IF(AND(RI!N24=3,RI!N25=3),E191 &amp; " x " &amp; F191,IF(AND(RI!N24=4,RI!N25=4),Formeln!E192 &amp; " x " &amp; Formeln!F192,IF(AND(RI!N24=5,RI!N25=4),Formeln!E193 &amp; " x " &amp; Formeln!F192,A174))))</f>
        <v>Dimension nicht möglich</v>
      </c>
      <c r="E189" s="21">
        <f>VLOOKUP(250,Sprachindex!A:Z,Info!O6,FALSE)</f>
        <v>250</v>
      </c>
      <c r="F189" s="20" t="str">
        <f>VLOOKUP("60 ⌀",Sprachindex!A:Z,Info!O6,FALSE)</f>
        <v>60 ⌀</v>
      </c>
    </row>
    <row r="190" spans="1:7">
      <c r="E190" s="21">
        <f>VLOOKUP(280,Sprachindex!A:Z,Info!O6,FALSE)</f>
        <v>280</v>
      </c>
      <c r="F190" s="20" t="str">
        <f>VLOOKUP("80 ⌀",Sprachindex!A:Z,Info!O6,FALSE)</f>
        <v>80 ⌀</v>
      </c>
      <c r="G190" s="20" t="str">
        <f>VLOOKUP("80 ⌀",Sprachindex!A:Z,Info!O6,FALSE)</f>
        <v>80 ⌀</v>
      </c>
    </row>
    <row r="191" spans="1:7">
      <c r="E191" s="21">
        <f>VLOOKUP(333,Sprachindex!A:Z,Info!O6,FALSE)</f>
        <v>333</v>
      </c>
      <c r="F191" s="20" t="str">
        <f>VLOOKUP("100 ⌀",Sprachindex!A:Z,Info!O6,FALSE)</f>
        <v>100 ⌀</v>
      </c>
      <c r="G191" s="20" t="str">
        <f>VLOOKUP("100 ⌀",Sprachindex!A:Z,Info!O6,FALSE)</f>
        <v>100 ⌀</v>
      </c>
    </row>
    <row r="192" spans="1:7">
      <c r="E192" s="21">
        <f>VLOOKUP(400,Sprachindex!A:Z,Info!O6,FALSE)</f>
        <v>400</v>
      </c>
      <c r="F192" s="20" t="str">
        <f>VLOOKUP("120 ⌀",Sprachindex!A:Z,Info!O6,FALSE)</f>
        <v>120 ⌀</v>
      </c>
      <c r="G192" s="20" t="str">
        <f>VLOOKUP("120 ⌀",Sprachindex!A:Z,Info!O6,FALSE)</f>
        <v>120 ⌀</v>
      </c>
    </row>
    <row r="193" spans="1:6">
      <c r="E193" s="21">
        <f>VLOOKUP(500,Sprachindex!A:Z,Info!O6,FALSE)</f>
        <v>500</v>
      </c>
      <c r="F193" s="20" t="str">
        <f>VLOOKUP("150 ⌀",Sprachindex!A:Z,Info!O6,FALSE)</f>
        <v>150 ⌀</v>
      </c>
    </row>
    <row r="195" spans="1:6">
      <c r="A195" s="23" t="s">
        <v>2521</v>
      </c>
      <c r="B195" s="23"/>
    </row>
    <row r="196" spans="1:6">
      <c r="A196" s="23" t="str">
        <f>IF(RI!N24=0,"",IF(AND(RI!N24=1,RI!N25=2),E189 &amp; " x " &amp;F190,IF(AND(RI!N24=2,RI!N25=2),E190 &amp; " x " &amp;F190,IF(AND(RI!N24=3,RI!N25=2),E191 &amp; " x " &amp;F190,IF(AND(RI!N24=4,RI!N25=4),E192 &amp; " x " &amp;F192,IF(AND(RI!N24=2,RI!N25=3),E190 &amp; " x " &amp;F191,IF(AND(RI!N24=3,RI!N25=3),E191 &amp; " x " &amp;F191,IF(AND(RI!N24=4,RI!N25=5),E192 &amp; " x " &amp;F193,IF(AND(RI!N24=3,RI!N25=4),E191 &amp; " x " &amp;F192,IF(AND(RI!N24=1,RI!N25=1),E189 &amp; " x " &amp;F189,A174))))))))))</f>
        <v/>
      </c>
      <c r="B196" s="23"/>
    </row>
    <row r="198" spans="1:6">
      <c r="A198" s="23" t="s">
        <v>2522</v>
      </c>
      <c r="B198" s="23"/>
    </row>
    <row r="199" spans="1:6">
      <c r="A199" s="23" t="str">
        <f>IF(RI!N24=0,"",IF(AND(RI!N24=1,RI!N25=2),Formeln!E189 &amp; " x " &amp; Formeln!F190,IF(AND(RI!N24=2,RI!N25=2),Formeln!E190 &amp; " x " &amp; Formeln!F190,IF(AND(RI!N24=3,RI!N25=2),Formeln!E191 &amp; " x " &amp; Formeln!F190,IF(AND(RI!N24=2,RI!N25=3),Formeln!E190 &amp; " x " &amp; Formeln!F191,IF(AND(RI!N24=3,RI!N25=3),Formeln!E191 &amp; " x " &amp; Formeln!F191,IF(AND(RI!N24=3,RI!N25=4),Formeln!E191 &amp; " x " &amp; Formeln!F192,IF(AND(RI!N24=4,RI!N25=4),Formeln!E192 &amp; " x " &amp; Formeln!F192,A174))))))))</f>
        <v/>
      </c>
      <c r="B199" s="23"/>
    </row>
    <row r="201" spans="1:6">
      <c r="A201" s="23" t="s">
        <v>2523</v>
      </c>
      <c r="B201" s="23"/>
      <c r="C201" s="23"/>
      <c r="D201" s="23"/>
      <c r="E201" s="23"/>
    </row>
    <row r="202" spans="1:6">
      <c r="A202" s="23"/>
      <c r="B202" s="23"/>
      <c r="C202" s="23"/>
      <c r="D202" s="23"/>
      <c r="E202" s="23"/>
    </row>
    <row r="203" spans="1:6">
      <c r="A203" s="23" t="str">
        <f>VLOOKUP("6 m",Sprachindex!A:Z,Info!$O$6,FALSE)</f>
        <v>6 m</v>
      </c>
      <c r="B203" s="23" t="str">
        <f>IF(RI!N24=1,RI!G25,IF(RI!N24=5,RI!G29,IF(RI!N24=3,RI!G27,IF(RI!N24=4,RI!G28,IF(RI!N24="","",A174)))))</f>
        <v/>
      </c>
      <c r="C203" s="23"/>
      <c r="D203" s="23"/>
      <c r="E203" s="23" t="str">
        <f>IF(B203=A174,"",A203)</f>
        <v>6 m</v>
      </c>
    </row>
    <row r="204" spans="1:6">
      <c r="A204" s="23" t="str">
        <f>VLOOKUP("3 m",Sprachindex!A:Z,Info!$O$6,FALSE)</f>
        <v>3 m</v>
      </c>
      <c r="B204" s="23" t="str">
        <f>IF(RI!N24=1,RI!G25,IF(RI!N24=5,RI!G29,IF(RI!N24=3,RI!G27,IF(RI!N24=4,RI!G28,IF(RI!N24="","",A174)))))</f>
        <v/>
      </c>
      <c r="C204" s="23"/>
      <c r="D204" s="23"/>
      <c r="E204" s="23" t="str">
        <f>IF(B204=A174,"",A204)</f>
        <v>3 m</v>
      </c>
    </row>
    <row r="206" spans="1:6">
      <c r="A206" s="24" t="s">
        <v>2524</v>
      </c>
      <c r="B206" s="23"/>
      <c r="C206" s="23"/>
      <c r="D206" s="23"/>
      <c r="E206" s="23"/>
    </row>
    <row r="207" spans="1:6">
      <c r="A207" s="24" t="str">
        <f>IF(RI!N24=0,"",IF(RI!N24=1,D207,IF(RI!N24=3,D208,IF(RI!N24=4,D209,IF(RI!N24=5,D210,A174)))))</f>
        <v/>
      </c>
      <c r="B207" s="23"/>
      <c r="C207" s="23"/>
      <c r="D207" s="23" t="str">
        <f>VLOOKUP("250/23 × 7",Sprachindex!A:Z,Info!$O$6,FALSE)</f>
        <v>250/23 × 7</v>
      </c>
      <c r="E207" s="23"/>
    </row>
    <row r="208" spans="1:6">
      <c r="A208" s="23"/>
      <c r="B208" s="23"/>
      <c r="C208" s="23"/>
      <c r="D208" s="23" t="str">
        <f>VLOOKUP("333/28 × 7",Sprachindex!A:Z,Info!$O$6,FALSE)</f>
        <v>333/28 × 7</v>
      </c>
      <c r="E208" s="23"/>
    </row>
    <row r="209" spans="1:5">
      <c r="A209" s="23"/>
      <c r="B209" s="23"/>
      <c r="C209" s="23"/>
      <c r="D209" s="23" t="str">
        <f>VLOOKUP("400/30 × 7",Sprachindex!A:Z,Info!$O$6,FALSE)</f>
        <v>400/30 × 7</v>
      </c>
      <c r="E209" s="23"/>
    </row>
    <row r="210" spans="1:5">
      <c r="A210" s="23"/>
      <c r="B210" s="23"/>
      <c r="C210" s="23"/>
      <c r="D210" s="23" t="str">
        <f>VLOOKUP("500/35 × 7",Sprachindex!A:Z,Info!$O$6,FALSE)</f>
        <v>500/35 × 7</v>
      </c>
      <c r="E210" s="23"/>
    </row>
    <row r="214" spans="1:5">
      <c r="A214" s="24" t="s">
        <v>2525</v>
      </c>
      <c r="B214" s="24"/>
      <c r="C214" s="23"/>
      <c r="D214" s="23"/>
    </row>
    <row r="215" spans="1:5">
      <c r="A215" s="24" t="str">
        <f>IF(RI!N24=0,"",IF(RI!N24=1,D215,IF(RI!N24=3,D216,A174)))</f>
        <v/>
      </c>
      <c r="B215" s="24"/>
      <c r="C215" s="23"/>
      <c r="D215" s="23" t="str">
        <f>VLOOKUP("250/23 × 7",Sprachindex!A:Z,Info!$O$6,FALSE)</f>
        <v>250/23 × 7</v>
      </c>
    </row>
    <row r="216" spans="1:5">
      <c r="A216" s="23"/>
      <c r="B216" s="23"/>
      <c r="C216" s="23"/>
      <c r="D216" s="23" t="str">
        <f>VLOOKUP("333/28 × 7",Sprachindex!A:Z,Info!$O$6,FALSE)</f>
        <v>333/28 × 7</v>
      </c>
    </row>
    <row r="218" spans="1:5">
      <c r="A218" s="23" t="s">
        <v>2526</v>
      </c>
      <c r="B218" s="23"/>
    </row>
    <row r="219" spans="1:5">
      <c r="A219" s="23" t="str">
        <f>IF(RI!N24=0,"",IF(RI!N24=1,E189,IF(RI!N24=3,E191,IF(RI!N24=4,E192,A174))))</f>
        <v/>
      </c>
      <c r="B219" s="23"/>
    </row>
    <row r="221" spans="1:5">
      <c r="A221" s="23" t="s">
        <v>2527</v>
      </c>
      <c r="B221" s="23"/>
    </row>
    <row r="222" spans="1:5">
      <c r="A222" s="23" t="str">
        <f>IF(OR(RI!N24=0,RI!N25=0),"",IF(AND(RI!N24=1,RI!N25=2),Formeln!E189&amp;" x "&amp;Formeln!F190,IF(AND(RI!N24=3,RI!N25=3),Formeln!E191&amp;" x "&amp;Formeln!F191,IF(AND(RI!N24=4,RI!N25=4),Formeln!E192 &amp; " x " &amp; Formeln!F192,IF(AND(RI!N24=5,RI!N25=4),Formeln!E193 &amp; " x " &amp; Formeln!F192,IF(AND(RI!N24=5,RI!N25=5),Formeln!E193 &amp; " x " &amp; Formeln!F193,A174))))))</f>
        <v/>
      </c>
      <c r="B222" s="23"/>
      <c r="E222" s="23"/>
    </row>
    <row r="223" spans="1:5">
      <c r="E223" s="23" t="str">
        <f>IF(AND(RI!$N$24=0,RI!$N$25=0),"",IF(AND(RI!N24=1,RI!N25=2),Formeln!E189 &amp; " x " &amp; Formeln!F190,IF(AND(RI!N24=3,RI!N25=3),Formeln!E191 &amp; " x " &amp; Formeln!F191,IF(AND(RI!N24=4,RI!N25=4),Formeln!E192 &amp; " x " &amp; Formeln!F192,IF(AND(RI!N24=5,RI!N25=4),Formeln!E193 &amp; " x " &amp; Formeln!F192,A174)))))</f>
        <v/>
      </c>
    </row>
    <row r="224" spans="1:5">
      <c r="E224" s="23" t="str">
        <f>IF(AND(RI!N24=5,RI!N25=5),E193 &amp; " x " &amp; F193,"")</f>
        <v/>
      </c>
    </row>
    <row r="226" spans="1:4">
      <c r="A226" s="23" t="s">
        <v>2528</v>
      </c>
      <c r="B226" s="23"/>
    </row>
    <row r="227" spans="1:4">
      <c r="A227" s="23" t="str">
        <f>IF(RI!N25=0,"",IF(RI!N25=2,F190,IF(RI!N25=3,F191,IF(RI!N25=4,F192,IF(RI!N25=5,F193,A174)))))</f>
        <v/>
      </c>
    </row>
    <row r="229" spans="1:4">
      <c r="A229" s="23" t="s">
        <v>2529</v>
      </c>
      <c r="B229" s="23"/>
      <c r="C229" s="23"/>
      <c r="D229" s="23"/>
    </row>
    <row r="230" spans="1:4">
      <c r="A230" s="23" t="str">
        <f>IF(RI!N25=0,"",IF(RI!N25=1,F189,IF(RI!N25=2,F190,IF(RI!N25=3,F191,IF(RI!N25=4,F192,IF(RI!N25=5,F193,A174))))))</f>
        <v/>
      </c>
    </row>
    <row r="232" spans="1:4">
      <c r="A232" s="23" t="s">
        <v>2530</v>
      </c>
    </row>
    <row r="233" spans="1:4">
      <c r="A233" s="23" t="str">
        <f>IF(RI!N25=1,F189,IF(RI!N25=2,F190,IF(RI!N25=3,F191,IF(RI!N25=4,F192,IF(RI!N25=5,F193,"")))))</f>
        <v/>
      </c>
    </row>
    <row r="235" spans="1:4">
      <c r="A235" s="23" t="s">
        <v>2531</v>
      </c>
    </row>
    <row r="236" spans="1:4">
      <c r="A236" s="23" t="str">
        <f>IF(RI!N25=0,"",IF(RI!N25=2,F190,IF(RI!N25=3,F191,IF(RI!N25=4,F192,A174))))</f>
        <v/>
      </c>
    </row>
    <row r="238" spans="1:4">
      <c r="A238" s="23" t="s">
        <v>2532</v>
      </c>
    </row>
    <row r="239" spans="1:4">
      <c r="A239" s="23"/>
    </row>
    <row r="240" spans="1:4">
      <c r="A240" s="23" t="str">
        <f>IF(RI!N25=2,"80 x " &amp; F189,IF(RI!N25=3,"100 x " &amp; F189,IF(RI!N25=4,"120 x " &amp; F190,"")))</f>
        <v/>
      </c>
      <c r="B240">
        <v>1</v>
      </c>
    </row>
    <row r="241" spans="1:3">
      <c r="A241" s="23" t="str">
        <f>IF(RI!N25=2,"80 x " &amp; F190,IF(RI!N25=3,"100 x " &amp; F190,IF(RI!N25=4,"120 x " &amp; F191,"")))</f>
        <v/>
      </c>
      <c r="B241">
        <v>2</v>
      </c>
    </row>
    <row r="242" spans="1:3">
      <c r="A242" s="23" t="str">
        <f>IF(RI!N25=3,"100 x " &amp; F191,IF(RI!N25=4,"120 x " &amp; F192,""))</f>
        <v/>
      </c>
      <c r="B242">
        <v>3</v>
      </c>
    </row>
    <row r="244" spans="1:3">
      <c r="A244" s="23" t="s">
        <v>2533</v>
      </c>
    </row>
    <row r="245" spans="1:3">
      <c r="A245" s="23" t="str">
        <f>IF(RI!N25=0,VLOOKUP("60 ⌀ × 3.000 mm",Sprachindex!A:Z,Info!$O$6,FALSE),IF(RI!N25=1,VLOOKUP("60 ⌀ × 3.000 mm",Sprachindex!A:Z,Info!$O$6,FALSE),A174))</f>
        <v>60 ⌀ × 3.000 mm</v>
      </c>
    </row>
    <row r="247" spans="1:3">
      <c r="A247" s="23" t="s">
        <v>2534</v>
      </c>
    </row>
    <row r="248" spans="1:3">
      <c r="A248" s="23" t="str">
        <f>IF(RI!N25=0,VLOOKUP("100 ⌀ × 1.450 mm",Sprachindex!A:Z,Info!$O$6,FALSE),IF(RI!N25=3,VLOOKUP("100 ⌀ × 1.450 mm",Sprachindex!A:Z,Info!$O$6,FALSE),A174))</f>
        <v>100 ⌀ × 1.450 mm</v>
      </c>
    </row>
    <row r="250" spans="1:3">
      <c r="A250" s="23" t="s">
        <v>2535</v>
      </c>
    </row>
    <row r="251" spans="1:3">
      <c r="A251" s="23" t="str">
        <f>IF(RI!N25=0,VLOOKUP("100 ⌀ 700–1.100 mm",Sprachindex!A:Z,Info!$O$6,FALSE),IF(RI!N25=3,VLOOKUP("100 ⌀ 700–1.100 mm",Sprachindex!A:Z,Info!$O$6,FALSE),A174))</f>
        <v>100 ⌀ 700–1.100 mm</v>
      </c>
    </row>
    <row r="252" spans="1:3">
      <c r="C252" t="s">
        <v>722</v>
      </c>
    </row>
    <row r="253" spans="1:3">
      <c r="A253" s="23" t="s">
        <v>2536</v>
      </c>
      <c r="C253" t="s">
        <v>734</v>
      </c>
    </row>
    <row r="254" spans="1:3">
      <c r="A254" s="23"/>
      <c r="C254" t="s">
        <v>746</v>
      </c>
    </row>
    <row r="255" spans="1:3">
      <c r="A255" s="23" t="str">
        <f>IF(RI!N25=0,"",IF(RI!N25=2,C253,IF(RI!N25=3,C254,IF(RI!N25=4,C256,IF(RI!N25=1,C252,"")))))</f>
        <v/>
      </c>
      <c r="C255" t="s">
        <v>758</v>
      </c>
    </row>
    <row r="256" spans="1:3">
      <c r="A256" s="23" t="str">
        <f>IF(RI!N25=0,"",IF(RI!N25=3,C255,""))</f>
        <v/>
      </c>
      <c r="C256" t="s">
        <v>770</v>
      </c>
    </row>
    <row r="258" spans="1:3">
      <c r="A258" s="23" t="s">
        <v>2537</v>
      </c>
      <c r="C258" t="s">
        <v>2538</v>
      </c>
    </row>
    <row r="259" spans="1:3">
      <c r="A259" s="23" t="str">
        <f>IF(RI!N25=0,"",IF(RI!N25=2,C258,IF(RI!N25=3,C259,IF(RI!N25=4,C260,A174))))</f>
        <v/>
      </c>
      <c r="C259" t="s">
        <v>2539</v>
      </c>
    </row>
    <row r="260" spans="1:3">
      <c r="A260" s="23"/>
      <c r="C260" t="s">
        <v>2540</v>
      </c>
    </row>
    <row r="262" spans="1:3">
      <c r="A262" s="23" t="s">
        <v>2541</v>
      </c>
    </row>
    <row r="263" spans="1:3">
      <c r="A263" s="23"/>
    </row>
    <row r="264" spans="1:3">
      <c r="A264" s="27" t="str">
        <f>VLOOKUP("4 × 9,5 mm",Sprachindex!A:Z,Info!$O$6,FALSE)</f>
        <v>4 × 9,5 mm</v>
      </c>
    </row>
    <row r="265" spans="1:3">
      <c r="A265" s="27" t="str">
        <f>VLOOKUP("4,8 × 17 mm",Sprachindex!A:Z,Info!$O$6,FALSE)</f>
        <v>4,8 × 17 mm</v>
      </c>
    </row>
    <row r="267" spans="1:3">
      <c r="A267" s="23" t="s">
        <v>2542</v>
      </c>
    </row>
    <row r="268" spans="1:3">
      <c r="A268" s="23"/>
    </row>
    <row r="269" spans="1:3">
      <c r="A269" s="23" t="str">
        <f>VLOOKUP("0,75 l Dose",Sprachindex!A:Z,Info!$O$6,FALSE)</f>
        <v>0,75 l Dose</v>
      </c>
    </row>
    <row r="270" spans="1:3">
      <c r="A270" s="26" t="str">
        <f>VLOOKUP("50 ml Dose mit Pinsel",Sprachindex!A:Z,Info!$O$6,FALSE)</f>
        <v>50 ml Dose mit Pinsel</v>
      </c>
    </row>
    <row r="272" spans="1:3">
      <c r="A272" s="23" t="s">
        <v>2543</v>
      </c>
    </row>
    <row r="273" spans="1:1">
      <c r="A273" s="23" t="str">
        <f>IF(RI!N25=0,"",IF(RI!N25=2,F190,IF(RI!N25=3,F191,IF(RI!N25=4,F192,IF(RI!N25=1,F189,A174)))))</f>
        <v/>
      </c>
    </row>
    <row r="276" spans="1:1">
      <c r="A276" t="s">
        <v>2544</v>
      </c>
    </row>
    <row r="278" spans="1:1">
      <c r="A278" s="169" t="s">
        <v>2545</v>
      </c>
    </row>
    <row r="279" spans="1:1">
      <c r="A279" s="169" t="s">
        <v>2546</v>
      </c>
    </row>
    <row r="280" spans="1:1">
      <c r="A280" s="169" t="s">
        <v>2547</v>
      </c>
    </row>
    <row r="282" spans="1:1">
      <c r="A282" t="str">
        <f>VLOOKUP("140 mm",Sprachindex!A:Z,Info!$O$6,FALSE)</f>
        <v>140 mm</v>
      </c>
    </row>
    <row r="283" spans="1:1">
      <c r="A283" t="str">
        <f>VLOOKUP("330 mm",Sprachindex!A:Z,Info!$O$6,FALSE)</f>
        <v>330 mm</v>
      </c>
    </row>
    <row r="285" spans="1:1">
      <c r="A285" t="str">
        <f>"60"&amp; " " &amp; VLOOKUP("kg",Sprachindex!A:Z,Info!$O$6,FALSE)</f>
        <v>60 kg</v>
      </c>
    </row>
    <row r="286" spans="1:1">
      <c r="A286" t="str">
        <f>"500"&amp; " " &amp; VLOOKUP("kg",Sprachindex!A:Z,Info!$O$6,FALSE)</f>
        <v>500 kg</v>
      </c>
    </row>
    <row r="288" spans="1:1">
      <c r="A288" t="s">
        <v>2548</v>
      </c>
    </row>
    <row r="290" spans="1:1">
      <c r="A290" t="str">
        <f>VLOOKUP("Ø 110/100 mm",Sprachindex!A:Z,Info!$O$6,FALSE)</f>
        <v>Ø 110/100 mm</v>
      </c>
    </row>
    <row r="291" spans="1:1">
      <c r="A291" t="str">
        <f>VLOOKUP("Ø 125/120 mm",Sprachindex!A:Z,Info!$O$6,FALSE)</f>
        <v>Ø 125/120 mm</v>
      </c>
    </row>
  </sheetData>
  <conditionalFormatting sqref="G42:J42">
    <cfRule type="expression" priority="5">
      <formula>$G$42=$A$14</formula>
    </cfRule>
  </conditionalFormatting>
  <conditionalFormatting sqref="I37:J37">
    <cfRule type="expression" priority="1459">
      <formula>$I$37=$A$164:$A$166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86A2E31C-CA14-439D-960F-C53D62450541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9" id="{75FAAE3B-4DAB-444F-B043-744338C787F1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7" id="{DA35FC52-DD5E-42EB-BB4F-DA2E3994CE9F}">
            <xm:f>RI!#REF!=$A$27</xm:f>
            <x14:dxf/>
          </x14:cfRule>
          <xm:sqref>I47:J47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3"/>
  <dimension ref="A1:N435"/>
  <sheetViews>
    <sheetView topLeftCell="A256" workbookViewId="0">
      <selection activeCell="A279" sqref="A279"/>
    </sheetView>
  </sheetViews>
  <sheetFormatPr baseColWidth="10" defaultColWidth="11.44140625" defaultRowHeight="14.4"/>
  <cols>
    <col min="1" max="1" width="59.109375" bestFit="1" customWidth="1"/>
    <col min="5" max="5" width="47.44140625" bestFit="1" customWidth="1"/>
    <col min="7" max="7" width="47.44140625" bestFit="1" customWidth="1"/>
  </cols>
  <sheetData>
    <row r="1" spans="1:6">
      <c r="A1" s="6"/>
      <c r="F1" s="6"/>
    </row>
    <row r="2" spans="1:6">
      <c r="A2" s="6" t="e">
        <f>VLOOKUP("28/25 (1 kg = ca. 570 St.)",Sprachindex!A:Z,Info!$O$6,FALSE)</f>
        <v>#N/A</v>
      </c>
      <c r="F2" s="6"/>
    </row>
    <row r="3" spans="1:6">
      <c r="A3" s="6" t="e">
        <f>VLOOKUP("28/30 (1 kg = ca. 480 St.)",Sprachindex!A:Z,Info!$O$6,FALSE)</f>
        <v>#N/A</v>
      </c>
      <c r="F3" s="6"/>
    </row>
    <row r="4" spans="1:6">
      <c r="A4" s="6" t="e">
        <f>VLOOKUP("28/40 (1 kg = ca. 380 St.)",Sprachindex!A:Z,Info!$O$6,FALSE)</f>
        <v>#N/A</v>
      </c>
      <c r="F4" s="6"/>
    </row>
    <row r="6" spans="1:6">
      <c r="A6" s="6" t="str">
        <f>VLOOKUP("Länge 26 mm (3.200 Stk/Karton)",Sprachindex!A:Z,Info!$O$6,FALSE)</f>
        <v>Länge 26 mm (3.200 Stk/Karton)</v>
      </c>
      <c r="F6" s="6"/>
    </row>
    <row r="7" spans="1:6">
      <c r="A7" s="6" t="str">
        <f>VLOOKUP("Länge 35 mm (2.400 Stk/Karton)",Sprachindex!A:Z,Info!$O$6,FALSE)</f>
        <v>Länge 35 mm (2.400 Stk/Karton)</v>
      </c>
      <c r="F7" s="6"/>
    </row>
    <row r="8" spans="1:6">
      <c r="A8" s="6" t="str">
        <f>VLOOKUP("Länge 26 mm (3.200 Stk/Karton) NIRO",Sprachindex!A:Z,Info!$O$6,FALSE)</f>
        <v>Länge 26 mm (3.200 Stk/Karton) NIRO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1x250 (A=140 B=85 C=25 mm) 01 braun/02 anthrazit</v>
      </c>
      <c r="E10" s="6"/>
    </row>
    <row r="11" spans="1:6">
      <c r="A11" s="6" t="str">
        <f>VLOOKUP("1x250 (A=140 B=85 C=25 mm)",Sprachindex!A:Z,Info!$O$6,FALSE) &amp; " " &amp; VLOOKUP("07 hellgrau",Sprachindex!A:Z,Info!$O$6,FALSE) &amp; "/" &amp; VLOOKUP("07 hellgrau",Sprachindex!A:Z,Info!$O$6,FALSE)</f>
        <v>1x250 (A=140 B=85 C=25 mm) 07 hellgrau/07 hellgrau</v>
      </c>
      <c r="E11" s="6"/>
    </row>
    <row r="12" spans="1:6">
      <c r="A12" s="6" t="str">
        <f>VLOOKUP("1x333 (A=223 B=85 C=25 mm)",Sprachindex!A:Z,Info!$O$6,FALSE) &amp; " " &amp; VLOOKUP("01 braun",Sprachindex!A:Z,Info!$O$6,FALSE) &amp; "/" &amp; VLOOKUP("02 anthrazit",Sprachindex!A:Z,Info!$O$6,FALSE)</f>
        <v>1x333 (A=223 B=85 C=25 mm) 01 braun/02 anthrazit</v>
      </c>
      <c r="E12" s="6"/>
    </row>
    <row r="13" spans="1:6">
      <c r="A13" s="6" t="str">
        <f>VLOOKUP("1x333 (A=223 B=85 C=25 mm)",Sprachindex!A:Z,Info!$O$6,FALSE) &amp; " " &amp; VLOOKUP("07 hellgrau",Sprachindex!A:Z,Info!$O$6,FALSE) &amp; "/" &amp; VLOOKUP("07 hellgrau",Sprachindex!A:Z,Info!$O$6,FALSE)</f>
        <v>1x333 (A=223 B=85 C=25 mm) 07 hellgrau/07 hellgrau</v>
      </c>
      <c r="E13" s="6"/>
    </row>
    <row r="15" spans="1:6">
      <c r="A15" s="6" t="str">
        <f>VLOOKUP("(4,5 x 45 mm, 250 Stk/Pkt)",Sprachindex!A:Z,Info!$O$6,FALSE)</f>
        <v>(4,5 x 45 mm, 250 Stk/Pkt)</v>
      </c>
      <c r="E15" s="6"/>
    </row>
    <row r="16" spans="1:6">
      <c r="A16" s="6" t="str">
        <f>VLOOKUP("(4,5 x 45 mm, 250 Stk/Pkt, blank)",Sprachindex!A:Z,Info!$O$6,FALSE)</f>
        <v>(4,5 x 45 mm, 250 Stk/Pkt, blank)</v>
      </c>
      <c r="E16" s="6"/>
    </row>
    <row r="18" spans="1:5">
      <c r="A18" s="6" t="str">
        <f>VLOOKUP("(4,5 x 60 mm, 100 Stk/Pkt)",Sprachindex!A:Z,Info!$O$6,FALSE)</f>
        <v>(4,5 x 60 mm, 100 Stk/Pkt)</v>
      </c>
      <c r="E18" s="6"/>
    </row>
    <row r="19" spans="1:5">
      <c r="A19" s="6" t="str">
        <f>VLOOKUP("(4,5 x 60 mm, 100 Stk/Pkt, blank)",Sprachindex!A:Z,Info!$O$6,FALSE)</f>
        <v>(4,5 x 60 mm, 100 Stk/Pkt, blank)</v>
      </c>
      <c r="E19" s="6"/>
    </row>
    <row r="21" spans="1:5">
      <c r="A21" s="6" t="str">
        <f>VLOOKUP("glatt",Sprachindex!A:Z,Info!$O$6,FALSE)</f>
        <v>glatt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x 500 mm</v>
      </c>
      <c r="D24" s="6"/>
    </row>
    <row r="25" spans="1:5">
      <c r="A25" s="6" t="str">
        <f>VLOOKUP("0,7 x 650 mm",Sprachindex!A:Z,Info!$O$6,FALSE)</f>
        <v>0,7 x 650 mm</v>
      </c>
      <c r="D25" s="6"/>
    </row>
    <row r="26" spans="1:5">
      <c r="A26" s="6" t="str">
        <f>VLOOKUP("0,7 x 1.000 mm",Sprachindex!A:Z,Info!$O$6,FALSE)</f>
        <v>0,7 x 1.000 mm</v>
      </c>
      <c r="D26" s="6"/>
    </row>
    <row r="28" spans="1:5">
      <c r="A28" s="6" t="s">
        <v>2376</v>
      </c>
    </row>
    <row r="29" spans="1:5">
      <c r="A29" s="6" t="s">
        <v>2377</v>
      </c>
      <c r="C29" t="s">
        <v>2378</v>
      </c>
    </row>
    <row r="30" spans="1:5">
      <c r="A30" s="7" t="s">
        <v>2379</v>
      </c>
    </row>
    <row r="31" spans="1:5">
      <c r="A31" s="6" t="s">
        <v>2380</v>
      </c>
      <c r="B31">
        <v>111100</v>
      </c>
      <c r="C31" t="s">
        <v>2549</v>
      </c>
    </row>
    <row r="32" spans="1:5">
      <c r="A32" s="6" t="s">
        <v>2382</v>
      </c>
      <c r="B32">
        <v>111120</v>
      </c>
      <c r="C32" t="s">
        <v>2383</v>
      </c>
    </row>
    <row r="33" spans="1:3">
      <c r="A33" s="6" t="s">
        <v>2384</v>
      </c>
      <c r="B33">
        <v>111160</v>
      </c>
      <c r="C33" t="s">
        <v>2385</v>
      </c>
    </row>
    <row r="34" spans="1:3">
      <c r="A34" s="158" t="s">
        <v>2386</v>
      </c>
      <c r="B34">
        <v>111280</v>
      </c>
      <c r="C34" t="s">
        <v>2387</v>
      </c>
    </row>
    <row r="35" spans="1:3">
      <c r="A35" s="6" t="s">
        <v>2388</v>
      </c>
      <c r="B35">
        <v>111180</v>
      </c>
      <c r="C35" t="s">
        <v>2389</v>
      </c>
    </row>
    <row r="36" spans="1:3">
      <c r="A36" s="7" t="s">
        <v>2390</v>
      </c>
      <c r="B36">
        <v>111200</v>
      </c>
      <c r="C36" t="s">
        <v>2391</v>
      </c>
    </row>
    <row r="37" spans="1:3">
      <c r="A37" s="6" t="s">
        <v>2392</v>
      </c>
      <c r="B37">
        <v>111220</v>
      </c>
      <c r="C37" t="s">
        <v>2393</v>
      </c>
    </row>
    <row r="38" spans="1:3">
      <c r="A38" s="6" t="s">
        <v>2394</v>
      </c>
      <c r="B38">
        <v>111600</v>
      </c>
      <c r="C38" t="s">
        <v>2395</v>
      </c>
    </row>
    <row r="39" spans="1:3">
      <c r="A39" s="6" t="s">
        <v>2396</v>
      </c>
      <c r="B39">
        <v>111240</v>
      </c>
      <c r="C39" t="s">
        <v>2397</v>
      </c>
    </row>
    <row r="40" spans="1:3">
      <c r="A40" s="7" t="s">
        <v>2398</v>
      </c>
      <c r="B40">
        <v>111620</v>
      </c>
      <c r="C40" t="s">
        <v>2399</v>
      </c>
    </row>
    <row r="41" spans="1:3">
      <c r="A41" s="6" t="s">
        <v>2400</v>
      </c>
    </row>
    <row r="42" spans="1:3">
      <c r="A42" s="6" t="s">
        <v>2401</v>
      </c>
    </row>
    <row r="43" spans="1:3">
      <c r="A43" s="6" t="s">
        <v>2402</v>
      </c>
    </row>
    <row r="44" spans="1:3">
      <c r="A44" s="6" t="s">
        <v>2403</v>
      </c>
    </row>
    <row r="45" spans="1:3">
      <c r="A45" s="7" t="s">
        <v>2404</v>
      </c>
    </row>
    <row r="46" spans="1:3">
      <c r="A46" s="6" t="s">
        <v>2405</v>
      </c>
    </row>
    <row r="47" spans="1:3">
      <c r="A47" s="6" t="s">
        <v>2406</v>
      </c>
    </row>
    <row r="48" spans="1:3">
      <c r="A48" s="6" t="s">
        <v>2407</v>
      </c>
    </row>
    <row r="50" spans="1:7">
      <c r="A50" s="6" t="str">
        <f>VLOOKUP("MIT Wärmedämmung",Sprachindex!A:Z,Info!$O$6,FALSE)</f>
        <v>MIT Wärmedämmung</v>
      </c>
      <c r="C50" s="6" t="str">
        <f>VLOOKUP("MIT Wärmedämmung",Sprachindex!A:Z,Info!$O$6,FALSE)</f>
        <v>MIT Wärmedämmung</v>
      </c>
      <c r="D50" s="6"/>
    </row>
    <row r="51" spans="1:7">
      <c r="A51" s="6" t="s">
        <v>2408</v>
      </c>
      <c r="C51" s="6" t="s">
        <v>2409</v>
      </c>
    </row>
    <row r="52" spans="1:7">
      <c r="A52" s="6" t="s">
        <v>2410</v>
      </c>
      <c r="C52" s="6" t="s">
        <v>2411</v>
      </c>
    </row>
    <row r="53" spans="1:7">
      <c r="A53" s="7" t="s">
        <v>2412</v>
      </c>
      <c r="C53" s="6" t="s">
        <v>2413</v>
      </c>
    </row>
    <row r="54" spans="1:7">
      <c r="A54" s="6" t="s">
        <v>2414</v>
      </c>
      <c r="C54" s="6" t="s">
        <v>2415</v>
      </c>
    </row>
    <row r="55" spans="1:7">
      <c r="A55" s="6" t="s">
        <v>2416</v>
      </c>
      <c r="C55" s="6" t="s">
        <v>2417</v>
      </c>
    </row>
    <row r="56" spans="1:7">
      <c r="A56" s="6" t="s">
        <v>2418</v>
      </c>
      <c r="C56" s="6" t="s">
        <v>2419</v>
      </c>
    </row>
    <row r="57" spans="1:7">
      <c r="A57" s="158" t="s">
        <v>2420</v>
      </c>
      <c r="C57" s="6" t="s">
        <v>2421</v>
      </c>
    </row>
    <row r="58" spans="1:7">
      <c r="A58" s="6" t="s">
        <v>2422</v>
      </c>
      <c r="C58" s="6" t="s">
        <v>2423</v>
      </c>
    </row>
    <row r="59" spans="1:7">
      <c r="A59" s="7" t="s">
        <v>2424</v>
      </c>
      <c r="C59" s="6" t="s">
        <v>2425</v>
      </c>
    </row>
    <row r="60" spans="1:7">
      <c r="A60" s="6" t="s">
        <v>2426</v>
      </c>
      <c r="C60" s="6" t="s">
        <v>2427</v>
      </c>
      <c r="G60" s="6"/>
    </row>
    <row r="61" spans="1:7">
      <c r="A61" s="7" t="s">
        <v>2428</v>
      </c>
      <c r="C61" s="6" t="s">
        <v>2429</v>
      </c>
      <c r="G61" s="6"/>
    </row>
    <row r="62" spans="1:7">
      <c r="A62" s="6" t="s">
        <v>2430</v>
      </c>
      <c r="C62" s="6" t="s">
        <v>2431</v>
      </c>
      <c r="G62" s="6"/>
    </row>
    <row r="63" spans="1:7">
      <c r="A63" s="6" t="s">
        <v>2432</v>
      </c>
      <c r="C63" s="6" t="s">
        <v>2433</v>
      </c>
      <c r="G63" s="6"/>
    </row>
    <row r="64" spans="1:7">
      <c r="A64" s="7" t="s">
        <v>2434</v>
      </c>
      <c r="C64" s="6" t="s">
        <v>2435</v>
      </c>
      <c r="G64" s="6"/>
    </row>
    <row r="65" spans="1:7">
      <c r="A65" s="6" t="s">
        <v>2436</v>
      </c>
      <c r="C65" s="6" t="s">
        <v>2437</v>
      </c>
      <c r="G65" s="6"/>
    </row>
    <row r="66" spans="1:7">
      <c r="A66" s="6" t="s">
        <v>2438</v>
      </c>
      <c r="C66" s="6" t="s">
        <v>2439</v>
      </c>
    </row>
    <row r="67" spans="1:7">
      <c r="A67" s="6" t="s">
        <v>2440</v>
      </c>
      <c r="C67" s="6" t="s">
        <v>2441</v>
      </c>
    </row>
    <row r="68" spans="1:7">
      <c r="A68" s="6" t="s">
        <v>2442</v>
      </c>
      <c r="C68" s="6" t="s">
        <v>2443</v>
      </c>
    </row>
    <row r="69" spans="1:7">
      <c r="A69" s="6" t="s">
        <v>2444</v>
      </c>
      <c r="C69" s="6" t="s">
        <v>2445</v>
      </c>
    </row>
    <row r="70" spans="1:7">
      <c r="A70" s="6" t="s">
        <v>2446</v>
      </c>
      <c r="C70" s="6" t="s">
        <v>2447</v>
      </c>
    </row>
    <row r="71" spans="1:7">
      <c r="A71" s="7" t="s">
        <v>2448</v>
      </c>
      <c r="C71" s="6" t="s">
        <v>2449</v>
      </c>
    </row>
    <row r="72" spans="1:7">
      <c r="A72" s="6" t="s">
        <v>2450</v>
      </c>
      <c r="C72" s="6" t="s">
        <v>2451</v>
      </c>
    </row>
    <row r="73" spans="1:7">
      <c r="A73" s="6" t="s">
        <v>2452</v>
      </c>
      <c r="C73" s="6" t="s">
        <v>2453</v>
      </c>
    </row>
    <row r="74" spans="1:7">
      <c r="A74" s="6" t="s">
        <v>2454</v>
      </c>
      <c r="C74" s="6" t="s">
        <v>2455</v>
      </c>
    </row>
    <row r="75" spans="1:7">
      <c r="A75" s="6"/>
      <c r="C75" s="6" t="s">
        <v>2456</v>
      </c>
    </row>
    <row r="76" spans="1:7">
      <c r="A76" s="6" t="str">
        <f>VLOOKUP("OHNE Wärmedämmung",Sprachindex!A:Z,Info!$O$6,FALSE)</f>
        <v>OHNE Wärmedämmung</v>
      </c>
      <c r="C76" s="6" t="s">
        <v>2457</v>
      </c>
      <c r="D76" s="6"/>
    </row>
    <row r="77" spans="1:7">
      <c r="A77" s="6" t="s">
        <v>2458</v>
      </c>
      <c r="C77" s="6" t="s">
        <v>2459</v>
      </c>
    </row>
    <row r="78" spans="1:7">
      <c r="A78" s="6" t="s">
        <v>2460</v>
      </c>
      <c r="C78" s="6" t="s">
        <v>2461</v>
      </c>
    </row>
    <row r="79" spans="1:7">
      <c r="A79" s="6" t="s">
        <v>2462</v>
      </c>
    </row>
    <row r="80" spans="1:7">
      <c r="A80" s="6" t="s">
        <v>2463</v>
      </c>
      <c r="C80" s="6" t="str">
        <f>VLOOKUP("OHNE Wärmedämmung",Sprachindex!A:Z,Info!$O$6,FALSE)</f>
        <v>OHNE Wärmedämmung</v>
      </c>
    </row>
    <row r="81" spans="1:3">
      <c r="A81" s="6" t="s">
        <v>2464</v>
      </c>
      <c r="C81" s="6" t="s">
        <v>2465</v>
      </c>
    </row>
    <row r="82" spans="1:3">
      <c r="A82" s="6" t="s">
        <v>2466</v>
      </c>
      <c r="C82" s="6" t="s">
        <v>2467</v>
      </c>
    </row>
    <row r="83" spans="1:3">
      <c r="A83" s="6" t="s">
        <v>2468</v>
      </c>
      <c r="C83" s="6" t="s">
        <v>2469</v>
      </c>
    </row>
    <row r="84" spans="1:3">
      <c r="A84" s="6" t="s">
        <v>2470</v>
      </c>
      <c r="C84" s="6" t="s">
        <v>2471</v>
      </c>
    </row>
    <row r="85" spans="1:3">
      <c r="A85" s="6" t="s">
        <v>2472</v>
      </c>
      <c r="C85" s="6" t="s">
        <v>2473</v>
      </c>
    </row>
    <row r="86" spans="1:3">
      <c r="A86" s="6" t="s">
        <v>2474</v>
      </c>
      <c r="C86" s="6" t="s">
        <v>2475</v>
      </c>
    </row>
    <row r="87" spans="1:3">
      <c r="A87" s="6" t="s">
        <v>2476</v>
      </c>
      <c r="C87" s="6" t="s">
        <v>2477</v>
      </c>
    </row>
    <row r="88" spans="1:3">
      <c r="A88" s="6" t="s">
        <v>2478</v>
      </c>
      <c r="C88" s="6" t="s">
        <v>2479</v>
      </c>
    </row>
    <row r="89" spans="1:3">
      <c r="A89" s="6" t="s">
        <v>2480</v>
      </c>
      <c r="C89" s="6" t="s">
        <v>2481</v>
      </c>
    </row>
    <row r="90" spans="1:3">
      <c r="A90" s="6" t="s">
        <v>2482</v>
      </c>
      <c r="C90" s="6" t="s">
        <v>2483</v>
      </c>
    </row>
    <row r="91" spans="1:3">
      <c r="A91" s="6" t="s">
        <v>2484</v>
      </c>
      <c r="C91" s="6" t="s">
        <v>2485</v>
      </c>
    </row>
    <row r="92" spans="1:3">
      <c r="A92" s="6" t="s">
        <v>2486</v>
      </c>
      <c r="C92" s="6" t="s">
        <v>2487</v>
      </c>
    </row>
    <row r="93" spans="1:3">
      <c r="A93" s="6" t="s">
        <v>2488</v>
      </c>
      <c r="C93" s="6" t="s">
        <v>2489</v>
      </c>
    </row>
    <row r="94" spans="1:3">
      <c r="A94" s="6" t="s">
        <v>2490</v>
      </c>
      <c r="C94" s="6" t="s">
        <v>2491</v>
      </c>
    </row>
    <row r="95" spans="1:3">
      <c r="A95" s="6" t="s">
        <v>2492</v>
      </c>
      <c r="C95" s="6" t="s">
        <v>2493</v>
      </c>
    </row>
    <row r="96" spans="1:3">
      <c r="A96" s="6" t="s">
        <v>2494</v>
      </c>
      <c r="C96" s="6" t="s">
        <v>2495</v>
      </c>
    </row>
    <row r="97" spans="1:4">
      <c r="A97" s="6" t="s">
        <v>2496</v>
      </c>
      <c r="C97" s="6" t="s">
        <v>2497</v>
      </c>
    </row>
    <row r="98" spans="1:4">
      <c r="A98" s="6" t="s">
        <v>2498</v>
      </c>
      <c r="C98" s="6" t="s">
        <v>2499</v>
      </c>
    </row>
    <row r="99" spans="1:4">
      <c r="A99" s="6" t="s">
        <v>2500</v>
      </c>
      <c r="C99" s="6" t="s">
        <v>2501</v>
      </c>
    </row>
    <row r="100" spans="1:4">
      <c r="A100" s="6" t="s">
        <v>2502</v>
      </c>
      <c r="C100" s="6" t="s">
        <v>2503</v>
      </c>
    </row>
    <row r="101" spans="1:4">
      <c r="C101" s="6" t="s">
        <v>2504</v>
      </c>
    </row>
    <row r="102" spans="1:4">
      <c r="A102" s="6" t="str">
        <f>VLOOKUP("Maße:",Sprachindex!A:Z,Info!$O$6,FALSE)</f>
        <v>Maße:</v>
      </c>
      <c r="C102" s="6" t="s">
        <v>2505</v>
      </c>
      <c r="D102" s="6"/>
    </row>
    <row r="103" spans="1:4">
      <c r="C103" s="6" t="s">
        <v>2506</v>
      </c>
    </row>
    <row r="104" spans="1:4">
      <c r="A104" s="6" t="str">
        <f>VLOOKUP("moosgrün/hellgrau",Sprachindex!A:Z,Info!$O$6,FALSE)</f>
        <v>moosgrün/hellgrau</v>
      </c>
      <c r="C104" s="6" t="s">
        <v>2507</v>
      </c>
      <c r="D104" s="6"/>
    </row>
    <row r="105" spans="1:4">
      <c r="A105" s="6" t="str">
        <f>VLOOKUP("braun/anthrazit",Sprachindex!A:Z,Info!$O$6,FALSE)</f>
        <v>braun/anthrazit</v>
      </c>
      <c r="C105" s="6" t="s">
        <v>2508</v>
      </c>
      <c r="D105" s="6"/>
    </row>
    <row r="106" spans="1:4">
      <c r="A106" s="6" t="str">
        <f>VLOOKUP("ziegelrot/oxydrot",Sprachindex!A:Z,Info!$O$6,FALSE)</f>
        <v>ziegelrot/oxydrot</v>
      </c>
      <c r="C106" s="6" t="s">
        <v>2509</v>
      </c>
      <c r="D106" s="6"/>
    </row>
    <row r="107" spans="1:4">
      <c r="A107" s="6" t="str">
        <f>VLOOKUP("prefaweiß/prefaweiß",Sprachindex!A:Z,Info!$O$6,FALSE)</f>
        <v>prefaweiß/prefaweiß</v>
      </c>
      <c r="C107" s="6" t="s">
        <v>2510</v>
      </c>
      <c r="D107" s="6"/>
    </row>
    <row r="108" spans="1:4">
      <c r="A108" s="6" t="str">
        <f>VLOOKUP("13 naturblank",Sprachindex!A:Z,Info!$O$6,FALSE)</f>
        <v>13 naturblank</v>
      </c>
      <c r="C108" s="6" t="s">
        <v>2511</v>
      </c>
      <c r="D108" s="6"/>
    </row>
    <row r="110" spans="1:4">
      <c r="A110" s="6" t="str">
        <f>VLOOKUP("m²",Sprachindex!A:Z,Info!$O$6,FALSE)</f>
        <v>m²</v>
      </c>
    </row>
    <row r="111" spans="1:4">
      <c r="A111" s="6" t="str">
        <f>VLOOKUP("Stk",Sprachindex!A:Z,Info!$O$6,FALSE)</f>
        <v>STK</v>
      </c>
    </row>
    <row r="112" spans="1:4">
      <c r="A112" s="6" t="str">
        <f>VLOOKUP("lfm",Sprachindex!A:Z,Info!$O$6,FALSE)</f>
        <v>lfm</v>
      </c>
    </row>
    <row r="113" spans="1:4">
      <c r="A113" s="6" t="str">
        <f>VLOOKUP("Karton",Sprachindex!A:Z,Info!$O$6,FALSE)</f>
        <v>Karton</v>
      </c>
    </row>
    <row r="114" spans="1:4">
      <c r="A114" s="6" t="str">
        <f>VLOOKUP("kg",Sprachindex!A:Z,Info!$O$6,FALSE)</f>
        <v>kg</v>
      </c>
    </row>
    <row r="115" spans="1:4">
      <c r="A115" s="6" t="str">
        <f>VLOOKUP("Rolle",Sprachindex!A:Z,Info!$O$6,FALSE)</f>
        <v>Rolle</v>
      </c>
    </row>
    <row r="116" spans="1:4">
      <c r="A116" s="6" t="str">
        <f>VLOOKUP("Rollen",Sprachindex!A:Z,Info!$O$6,FALSE)</f>
        <v>Rollen</v>
      </c>
    </row>
    <row r="118" spans="1:4">
      <c r="A118" s="6" t="str">
        <f>VLOOKUP("braun/anthrazit",Sprachindex!A:Z,Info!$O$6,FALSE)</f>
        <v>braun/anthrazit</v>
      </c>
      <c r="C118" s="15"/>
    </row>
    <row r="119" spans="1:4">
      <c r="A119" s="6" t="str">
        <f>VLOOKUP("hellgrau/hellgrau",Sprachindex!A:Z,Info!$O$6,FALSE)</f>
        <v>hellgrau/hellgrau</v>
      </c>
      <c r="C119" s="15"/>
    </row>
    <row r="121" spans="1:4">
      <c r="A121" s="6" t="str">
        <f>VLOOKUP("01 P.10 braun",Sprachindex!A:Z,Info!$O$6,FALSE)</f>
        <v>01 P.10 braun</v>
      </c>
    </row>
    <row r="122" spans="1:4">
      <c r="A122" s="6" t="str">
        <f>VLOOKUP("02 P.10 anthrazit",Sprachindex!A:Z,Info!$O$6,FALSE)</f>
        <v>02 P.10 anthrazit</v>
      </c>
    </row>
    <row r="123" spans="1:4">
      <c r="A123" s="6" t="str">
        <f>VLOOKUP("03 P.10 schwarz",Sprachindex!A:Z,Info!$O$6,FALSE)</f>
        <v>03 P.10 schwarz</v>
      </c>
    </row>
    <row r="124" spans="1:4">
      <c r="A124" s="6" t="str">
        <f>VLOOKUP("04 P.10 ziegelrot",Sprachindex!A:Z,Info!$O$6,FALSE)</f>
        <v>04 P.10 ziegelrot</v>
      </c>
    </row>
    <row r="125" spans="1:4">
      <c r="A125" s="6" t="str">
        <f>VLOOKUP("05 P.10 oxydrot",Sprachindex!A:Z,Info!$O$6,FALSE)</f>
        <v>05 P.10 oxydrot</v>
      </c>
    </row>
    <row r="126" spans="1:4">
      <c r="A126" s="6" t="str">
        <f>VLOOKUP("06 P.10 moosgrün",Sprachindex!A:Z,Info!$O$6,FALSE)</f>
        <v>06 P.10 moosgrün</v>
      </c>
      <c r="D126" s="83"/>
    </row>
    <row r="127" spans="1:4">
      <c r="A127" s="6" t="str">
        <f>VLOOKUP("07 P.10 hellgrau ",Sprachindex!A:Z,Info!$O$6,FALSE)</f>
        <v xml:space="preserve">07 P.10 hellgrau </v>
      </c>
      <c r="D127" s="84"/>
    </row>
    <row r="128" spans="1:4">
      <c r="A128" s="6" t="str">
        <f>VLOOKUP("11 P.10 nussbraun",Sprachindex!A:Z,Info!$O$6,FALSE)</f>
        <v>11 P.10 nussbraun</v>
      </c>
    </row>
    <row r="129" spans="1:2">
      <c r="A129" s="6" t="str">
        <f>VLOOKUP("43 P.10 steingrau",Sprachindex!A:Z,Info!$O$6,FALSE)</f>
        <v>43 P.10 steingrau</v>
      </c>
    </row>
    <row r="130" spans="1:2">
      <c r="A130" s="6" t="str">
        <f>VLOOKUP("13 naturblank",Sprachindex!A:Z,Info!$O$6,FALSE)</f>
        <v>13 naturblank</v>
      </c>
    </row>
    <row r="132" spans="1:2">
      <c r="A132" s="15" t="e">
        <f>VLOOKUP("PREFA Dachlukendeckel mit Holzrahmen
(Innenmass 600x600mm)",Sprachindex!A:Z,Info!$O$6,FALSE)</f>
        <v>#N/A</v>
      </c>
    </row>
    <row r="133" spans="1:2">
      <c r="A133" s="15" t="e">
        <f>VLOOKUP("PREFA Holzrahmen
(Innenmass 600 x 600 mm)",Sprachindex!A:Z,Info!$O$6,FALSE)</f>
        <v>#N/A</v>
      </c>
    </row>
    <row r="134" spans="1:2">
      <c r="A134" s="15" t="e">
        <f>VLOOKUP("PREFA Dachlukendeckel
(Innenmass 600 x 600 mm)",Sprachindex!A:Z,Info!$O$6,FALSE)</f>
        <v>#N/A</v>
      </c>
    </row>
    <row r="135" spans="1:2">
      <c r="B135" t="str">
        <f>VLOOKUP("600 mm",Sprachindex!A:Z,Info!$O$6,FALSE)</f>
        <v>600 mm</v>
      </c>
    </row>
    <row r="136" spans="1:2">
      <c r="A136" t="str">
        <f>VLOOKUP("1.500 mm",Sprachindex!A:Z,Info!$O$6,FALSE)</f>
        <v>1.500 mm</v>
      </c>
      <c r="B136" t="str">
        <f>VLOOKUP("1.500 mm",Sprachindex!A:Z,Info!$O$6,FALSE)</f>
        <v>1.500 mm</v>
      </c>
    </row>
    <row r="137" spans="1:2">
      <c r="A137" t="str">
        <f>VLOOKUP("3.000 mm",Sprachindex!A:Z,Info!$O$6,FALSE)</f>
        <v>3.000 mm</v>
      </c>
      <c r="B137" t="str">
        <f>VLOOKUP("3.000 mm",Sprachindex!A:Z,Info!$O$6,FALSE)</f>
        <v>3.000 mm</v>
      </c>
    </row>
    <row r="139" spans="1:2">
      <c r="A139" t="str">
        <f>VLOOKUP("⌀ 100 mm passend für HT/KG (NW 110 mm)",Sprachindex!A:Z,Info!$O$6,FALSE)</f>
        <v>⌀ 100 mm passend für HT/KG (NW 110 mm)</v>
      </c>
    </row>
    <row r="140" spans="1:2">
      <c r="A140" t="str">
        <f>VLOOKUP("⌀ 115 mm passend für HT/KG (NW 125 mm)",Sprachindex!A:Z,Info!$O$6,FALSE)</f>
        <v>⌀ 115 mm passend für HT/KG (NW 125 mm)</v>
      </c>
    </row>
    <row r="142" spans="1:2">
      <c r="A142" t="str">
        <f>VLOOKUP("333 mm / 100 × 100 mm",Sprachindex!A:Z,Info!$O$6,FALSE)</f>
        <v>333 mm / 100 × 100 mm</v>
      </c>
    </row>
    <row r="143" spans="1:2">
      <c r="A143" t="str">
        <f>VLOOKUP("400 mm / 100 × 100 mm",Sprachindex!A:Z,Info!$O$6,FALSE)</f>
        <v>400 mm / 100 × 100 mm</v>
      </c>
    </row>
    <row r="145" spans="1:5">
      <c r="A145" t="str">
        <f>VLOOKUP("140 mm",Sprachindex!A:Z,Info!$O$6,FALSE)</f>
        <v>140 mm</v>
      </c>
    </row>
    <row r="146" spans="1:5">
      <c r="A146" t="str">
        <f>VLOOKUP("200 mm",Sprachindex!A:Z,Info!$O$6,FALSE)</f>
        <v>200 mm</v>
      </c>
    </row>
    <row r="147" spans="1:5">
      <c r="A147" t="str">
        <f>VLOOKUP("330 mm",Sprachindex!A:Z,Info!$O$6,FALSE)</f>
        <v>330 mm</v>
      </c>
    </row>
    <row r="149" spans="1:5">
      <c r="A149" t="str">
        <f>VLOOKUP("100–160 mm",Sprachindex!A:Z,Info!$O$6,FALSE)</f>
        <v>100–160 mm</v>
      </c>
    </row>
    <row r="150" spans="1:5">
      <c r="A150" t="str">
        <f>VLOOKUP("180–220 mm",Sprachindex!A:Z,Info!$O$6,FALSE)</f>
        <v>180–220 mm</v>
      </c>
    </row>
    <row r="152" spans="1:5">
      <c r="A152" t="str">
        <f>VLOOKUP("100–180 mm",Sprachindex!A:Z,Info!$O$6,FALSE)</f>
        <v>100–180 mm</v>
      </c>
      <c r="E152" t="s">
        <v>2513</v>
      </c>
    </row>
    <row r="153" spans="1:5">
      <c r="A153" t="str">
        <f>VLOOKUP("180–260 mm",Sprachindex!A:Z,Info!$O$6,FALSE)</f>
        <v>180–260 mm</v>
      </c>
      <c r="E153" s="23" t="s">
        <v>2550</v>
      </c>
    </row>
    <row r="154" spans="1:5">
      <c r="E154" s="23"/>
    </row>
    <row r="155" spans="1:5">
      <c r="A155" t="str">
        <f>VLOOKUP("3 m",Sprachindex!A:Z,Info!$O$6,FALSE)</f>
        <v>3 m</v>
      </c>
      <c r="B155" s="15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5" s="23" t="str">
        <f>IF('RI_P.10'!N17=0,"",IF(B155= "Dimension nicht möglich","",A155))</f>
        <v/>
      </c>
    </row>
    <row r="156" spans="1:5">
      <c r="A156" t="str">
        <f>VLOOKUP("6 m",Sprachindex!A:Z,Info!$O$6,FALSE)</f>
        <v>6 m</v>
      </c>
      <c r="B156" s="15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56" s="23" t="str">
        <f>IF('RI_P.10'!N17=0,"",IF(B156= "Dimension nicht möglich","",A156))</f>
        <v/>
      </c>
    </row>
    <row r="157" spans="1:5">
      <c r="B157" s="15"/>
    </row>
    <row r="158" spans="1:5">
      <c r="B158" s="15"/>
      <c r="E158" s="23" t="s">
        <v>2515</v>
      </c>
    </row>
    <row r="159" spans="1:5">
      <c r="E159" s="25"/>
    </row>
    <row r="160" spans="1:5">
      <c r="A160" t="str">
        <f>VLOOKUP("normal",Sprachindex!A:Z,Info!$O$6,FALSE)</f>
        <v>normal</v>
      </c>
      <c r="B160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0" s="25" t="str">
        <f>IF('RI_P.10'!N17=0,"",IF('RI_P.10'!N17=5,"",A160))</f>
        <v/>
      </c>
    </row>
    <row r="161" spans="1:5">
      <c r="A161" t="str">
        <f>VLOOKUP("kurz",Sprachindex!A:Z,Info!$O$6,FALSE)</f>
        <v>kurz</v>
      </c>
      <c r="B16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1" s="25" t="str">
        <f>IF('RI_P.10'!N17=0,"",IF('RI_P.10'!N17=4,"",IF('RI_P.10'!N17=5,"",A161)))</f>
        <v/>
      </c>
    </row>
    <row r="162" spans="1:5">
      <c r="A162" t="str">
        <f>VLOOKUP("lang",Sprachindex!A:Z,Info!$O$6,FALSE)</f>
        <v>lang</v>
      </c>
      <c r="B16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62" s="23" t="str">
        <f>IF('RI_P.10'!N17=0,"",IF('RI_P.10'!N17=1,"",IF('RI_P.10'!N17=4,"",IF('RI_P.10'!N17=5,"",A162))))</f>
        <v/>
      </c>
    </row>
    <row r="164" spans="1:5">
      <c r="E164" s="23" t="s">
        <v>2551</v>
      </c>
    </row>
    <row r="165" spans="1:5">
      <c r="E165" s="23"/>
    </row>
    <row r="166" spans="1:5">
      <c r="A166" t="str">
        <f>VLOOKUP("6 m",Sprachindex!A:Z,Info!$O$6,FALSE)</f>
        <v>6 m</v>
      </c>
      <c r="B166" t="str">
        <f>IF('RI_P.10'!N17=1,'RI_P.10'!L20,IF('RI_P.10'!N17=2,'RI_P.10'!L21,IF('RI_P.10'!N17=3,'RI_P.10'!M20,IF('RI_P.10'!N17=4,'RI_P.10'!M21,IF('RI_P.10'!N17=5,'RI_P.10'!G36,"")))))</f>
        <v/>
      </c>
      <c r="E166" s="23" t="str">
        <f>IF('RI_P.10'!N17=0,"",B166 &amp; ", " &amp;A166)</f>
        <v/>
      </c>
    </row>
    <row r="167" spans="1:5">
      <c r="A167" t="str">
        <f>VLOOKUP("3 m",Sprachindex!A:Z,Info!$O$6,FALSE)</f>
        <v>3 m</v>
      </c>
      <c r="B167" t="str">
        <f>IF('RI_P.10'!N17=1,'RI_P.10'!L20,IF('RI_P.10'!N17=2,'RI_P.10'!L21,IF('RI_P.10'!N17=3,'RI_P.10'!M20,IF('RI_P.10'!N17=4,'RI_P.10'!M21,IF('RI_P.10'!N17=5,'RI_P.10'!G36,"")))))</f>
        <v/>
      </c>
      <c r="E167" s="23" t="str">
        <f>IF('RI_P.10'!N17=0,"",IF('RI_P.10'!N17=4,"",B167 &amp; ", " &amp;A167))</f>
        <v/>
      </c>
    </row>
    <row r="169" spans="1:5">
      <c r="A169" s="22" t="str">
        <f>VLOOKUP("Dimension nicht möglich",Sprachindex!A:Z,Info!$O$6,FALSE)</f>
        <v>Dimension nicht möglich</v>
      </c>
      <c r="E169" s="23" t="s">
        <v>2516</v>
      </c>
    </row>
    <row r="170" spans="1:5">
      <c r="E170" s="23"/>
    </row>
    <row r="171" spans="1:5">
      <c r="A171" t="str">
        <f>VLOOKUP("normal",Sprachindex!A:Z,Info!$O$6,FALSE)</f>
        <v>normal</v>
      </c>
      <c r="B171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1" s="23" t="str">
        <f>IF('RI_P.10'!N17=3,A171,IF('RI_P.10'!N17=4, A171,IF('RI_P.10'!N17=2,A171,"")))</f>
        <v/>
      </c>
    </row>
    <row r="172" spans="1:5">
      <c r="A172" t="str">
        <f>VLOOKUP("kurz",Sprachindex!A:Z,Info!$O$6,FALSE)</f>
        <v>kurz</v>
      </c>
      <c r="B172" t="str">
        <f>IF('RI_P.10'!N17=1,'RI_P.10'!L20,IF('RI_P.10'!N17=2,'RI_P.10'!L21,IF('RI_P.10'!N17=3,'RI_P.10'!M20,IF('RI_P.10'!N17=4,'RI_P.10'!M21,IF('RI_P.10'!N17=5,VLOOKUP("Dimension nicht möglich",Sprachindex!A:Z,Info!$O$6,FALSE),"")))))</f>
        <v/>
      </c>
      <c r="E172" t="str">
        <f>IF('RI_P.10'!N17=3,A172,"")</f>
        <v/>
      </c>
    </row>
    <row r="174" spans="1:5">
      <c r="A174" s="23" t="s">
        <v>2518</v>
      </c>
      <c r="B174" s="23"/>
    </row>
    <row r="175" spans="1:5">
      <c r="A175" s="23" t="str">
        <f>IF('RI_P.10'!N17=0,"",IF('RI_P.10'!N17=1,'RI_P.10'!L20,IF('RI_P.10'!N17=2,'RI_P.10'!L21,IF('RI_P.10'!N17=3,'RI_P.10'!M20,IF('RI_P.10'!N17=4,'RI_P.10'!M21,IF('RI_P.10'!N17=5,VLOOKUP("Dimension nicht möglich",Sprachindex!A:Z,Info!$O$6,FALSE),""))))))</f>
        <v/>
      </c>
      <c r="B175" s="23"/>
    </row>
    <row r="177" spans="1:7">
      <c r="A177" s="23" t="s">
        <v>2519</v>
      </c>
      <c r="B177" s="23"/>
    </row>
    <row r="178" spans="1:7">
      <c r="A178" s="23" t="str">
        <f>IF('RI_P.10'!N17=0,"",IF('RI_P.10'!N17=1,'RI_P.10'!L20,IF('RI_P.10'!N17=5,'RI_P.10'!G36,IF('RI_P.10'!N17=3,'RI_P.10'!M20,IF('RI_P.10'!N17=4,'RI_P.10'!M21,IF('RI_P.10'!N17=2,VLOOKUP("Dimension nicht möglich",Sprachindex!A:Z,Info!$O$6,FALSE),A169))))))</f>
        <v/>
      </c>
      <c r="B178" s="23"/>
    </row>
    <row r="180" spans="1:7">
      <c r="A180" s="23" t="s">
        <v>2520</v>
      </c>
      <c r="B180" s="23"/>
    </row>
    <row r="181" spans="1:7">
      <c r="A181" s="23" t="str">
        <f>IF('RI_P.10'!N17=0,"",IF('RI_P.10'!N17=1,'RI_P.10'!L20,IF('RI_P.10'!N17=3,'RI_P.10'!M20,IF('RI_P.10'!N17=4,'RI_P.10'!M21,A169))))</f>
        <v/>
      </c>
      <c r="B181" s="23"/>
    </row>
    <row r="184" spans="1:7">
      <c r="A184" t="str">
        <f>IF(AND('RI_P.10'!N17=1,'RI_P.10'!N18=2),Formeln_RI_P.10!E184 &amp; " x " &amp; Formeln_RI_P.10!F185,IF(AND('RI_P.10'!N17=3,'RI_P.10'!N18=3),E186 &amp; " x " &amp; F186,IF(AND('RI_P.10'!N17=4,'RI_P.10'!N18=4),Formeln_RI_P.10!E187 &amp; " x " &amp; Formeln_RI_P.10!F187,IF(AND('RI_P.10'!N17=5,'RI_P.10'!N18=4),Formeln_RI_P.10!E188 &amp; " x " &amp; Formeln_RI_P.10!F187,A169))))</f>
        <v>Dimension nicht möglich</v>
      </c>
      <c r="E184" s="21">
        <f>VLOOKUP(250,Sprachindex!A:Z,Info!O6,FALSE)</f>
        <v>250</v>
      </c>
      <c r="F184" s="20" t="str">
        <f>VLOOKUP("60 ⌀",Sprachindex!A:Z,Info!O6,FALSE)</f>
        <v>60 ⌀</v>
      </c>
    </row>
    <row r="185" spans="1:7">
      <c r="E185" s="21">
        <f>VLOOKUP(280,Sprachindex!A:Z,Info!O6,FALSE)</f>
        <v>280</v>
      </c>
      <c r="F185" s="20" t="str">
        <f>VLOOKUP("80 ⌀",Sprachindex!A:Z,Info!O6,FALSE)</f>
        <v>80 ⌀</v>
      </c>
      <c r="G185" s="20" t="str">
        <f>VLOOKUP("80 ⌀",Sprachindex!A:Z,Info!O6,FALSE)</f>
        <v>80 ⌀</v>
      </c>
    </row>
    <row r="186" spans="1:7">
      <c r="E186" s="21">
        <f>VLOOKUP(333,Sprachindex!A:Z,Info!O6,FALSE)</f>
        <v>333</v>
      </c>
      <c r="F186" s="20" t="str">
        <f>VLOOKUP("100 ⌀",Sprachindex!A:Z,Info!O6,FALSE)</f>
        <v>100 ⌀</v>
      </c>
      <c r="G186" s="20" t="str">
        <f>VLOOKUP("100 ⌀",Sprachindex!A:Z,Info!O6,FALSE)</f>
        <v>100 ⌀</v>
      </c>
    </row>
    <row r="187" spans="1:7">
      <c r="E187" s="21">
        <f>VLOOKUP(400,Sprachindex!A:Z,Info!O6,FALSE)</f>
        <v>400</v>
      </c>
      <c r="F187" s="20" t="str">
        <f>VLOOKUP("120 ⌀",Sprachindex!A:Z,Info!O6,FALSE)</f>
        <v>120 ⌀</v>
      </c>
      <c r="G187" s="20" t="str">
        <f>VLOOKUP("120 ⌀",Sprachindex!A:Z,Info!O6,FALSE)</f>
        <v>120 ⌀</v>
      </c>
    </row>
    <row r="188" spans="1:7">
      <c r="E188" s="21">
        <f>VLOOKUP(500,Sprachindex!A:Z,Info!O6,FALSE)</f>
        <v>500</v>
      </c>
      <c r="F188" s="20" t="str">
        <f>VLOOKUP("150 ⌀",Sprachindex!A:Z,Info!O6,FALSE)</f>
        <v>150 ⌀</v>
      </c>
    </row>
    <row r="190" spans="1:7">
      <c r="A190" s="23" t="s">
        <v>2521</v>
      </c>
      <c r="B190" s="23"/>
    </row>
    <row r="191" spans="1:7">
      <c r="A191" s="23" t="str">
        <f>IF('RI_P.10'!N17=0,"",IF(AND('RI_P.10'!N17=1,'RI_P.10'!N18=2),E184 &amp; " x " &amp;F185,IF(AND('RI_P.10'!N17=2,'RI_P.10'!N18=2),E185 &amp; " x " &amp;F185,IF(AND('RI_P.10'!N17=3,'RI_P.10'!N18=2),E186 &amp; " x " &amp;F185,IF(AND('RI_P.10'!N17=4,'RI_P.10'!N18=4),E187 &amp; " x " &amp;F187,IF(AND('RI_P.10'!N17=2,'RI_P.10'!N18=3),E185 &amp; " x " &amp;F186,IF(AND('RI_P.10'!N17=3,'RI_P.10'!N18=3),E186 &amp; " x " &amp;F186,IF(AND('RI_P.10'!N17=4,'RI_P.10'!N18=5),E187 &amp; " x " &amp;F188,IF(AND('RI_P.10'!N17=3,'RI_P.10'!N18=4),E186 &amp; " x " &amp;F187,IF(AND('RI_P.10'!N17=1,'RI_P.10'!N18=1),E184 &amp; " x " &amp;F184,A169))))))))))</f>
        <v/>
      </c>
      <c r="B191" s="23"/>
    </row>
    <row r="193" spans="1:5">
      <c r="A193" s="23" t="s">
        <v>2522</v>
      </c>
      <c r="B193" s="23"/>
    </row>
    <row r="194" spans="1:5">
      <c r="A194" s="23" t="str">
        <f>IF('RI_P.10'!N17=0,"",IF(AND('RI_P.10'!N17=1,'RI_P.10'!N18=2),Formeln_RI_P.10!E184 &amp; " x " &amp; Formeln_RI_P.10!F185,IF(AND('RI_P.10'!N17=2,'RI_P.10'!N18=2),Formeln_RI_P.10!E185 &amp; " x " &amp; Formeln_RI_P.10!F185,IF(AND('RI_P.10'!N17=3,'RI_P.10'!N18=2),Formeln_RI_P.10!E186 &amp; " x " &amp; Formeln_RI_P.10!F185,IF(AND('RI_P.10'!N17=2,'RI_P.10'!N18=3),Formeln_RI_P.10!E185 &amp; " x " &amp; Formeln_RI_P.10!F186,IF(AND('RI_P.10'!N17=3,'RI_P.10'!N18=3),Formeln_RI_P.10!E186 &amp; " x " &amp; Formeln_RI_P.10!F186,IF(AND('RI_P.10'!N17=3,'RI_P.10'!N18=4),Formeln_RI_P.10!E186 &amp; " x " &amp; Formeln_RI_P.10!F187,IF(AND('RI_P.10'!N17=4,'RI_P.10'!N18=4),Formeln_RI_P.10!E187 &amp; " x " &amp; Formeln_RI_P.10!F187,A169))))))))</f>
        <v/>
      </c>
      <c r="B194" s="23"/>
    </row>
    <row r="196" spans="1:5">
      <c r="A196" s="23" t="s">
        <v>2523</v>
      </c>
      <c r="B196" s="23"/>
      <c r="C196" s="23"/>
      <c r="D196" s="23"/>
      <c r="E196" s="23"/>
    </row>
    <row r="197" spans="1:5">
      <c r="A197" s="23"/>
      <c r="B197" s="23"/>
      <c r="C197" s="23"/>
      <c r="D197" s="23"/>
      <c r="E197" s="23"/>
    </row>
    <row r="198" spans="1:5">
      <c r="A198" s="23" t="str">
        <f>VLOOKUP("6 m",Sprachindex!A:Z,Info!$O$6,FALSE)</f>
        <v>6 m</v>
      </c>
      <c r="B198" s="23" t="str">
        <f>IF('RI_P.10'!N17=1,'RI_P.10'!L20,IF('RI_P.10'!N17=5,'RI_P.10'!G36,IF('RI_P.10'!N17=3,'RI_P.10'!M20,IF('RI_P.10'!N17=4,'RI_P.10'!M21,A169))))</f>
        <v>Dimension nicht möglich</v>
      </c>
      <c r="C198" s="23"/>
      <c r="D198" s="23"/>
      <c r="E198" s="23" t="str">
        <f>IF(B198=A169,"",A198)</f>
        <v/>
      </c>
    </row>
    <row r="199" spans="1:5">
      <c r="A199" s="23" t="str">
        <f>VLOOKUP("3 m",Sprachindex!A:Z,Info!$O$6,FALSE)</f>
        <v>3 m</v>
      </c>
      <c r="B199" s="23" t="str">
        <f>IF('RI_P.10'!N17=1,'RI_P.10'!L20,IF('RI_P.10'!N17=5,'RI_P.10'!G36,IF('RI_P.10'!N17=3,'RI_P.10'!M20,IF('RI_P.10'!N17=4,'RI_P.10'!M21,A169))))</f>
        <v>Dimension nicht möglich</v>
      </c>
      <c r="C199" s="23"/>
      <c r="D199" s="23"/>
      <c r="E199" s="23" t="str">
        <f>IF(B199=A169,"",A199)</f>
        <v/>
      </c>
    </row>
    <row r="201" spans="1:5">
      <c r="A201" s="24" t="s">
        <v>2524</v>
      </c>
      <c r="B201" s="23"/>
      <c r="C201" s="23"/>
      <c r="D201" s="23"/>
      <c r="E201" s="23"/>
    </row>
    <row r="202" spans="1:5">
      <c r="A202" s="24" t="str">
        <f>IF('RI_P.10'!N17=0,"",IF('RI_P.10'!N17=1,D202,IF('RI_P.10'!N17=3,D203,IF('RI_P.10'!N17=4,D204,IF('RI_P.10'!N17=5,D205,A169)))))</f>
        <v/>
      </c>
      <c r="B202" s="23"/>
      <c r="C202" s="23"/>
      <c r="D202" s="23" t="str">
        <f>VLOOKUP("250/23 × 7",Sprachindex!A:Z,Info!$O$6,FALSE)</f>
        <v>250/23 × 7</v>
      </c>
      <c r="E202" s="23"/>
    </row>
    <row r="203" spans="1:5">
      <c r="A203" s="23"/>
      <c r="B203" s="23"/>
      <c r="C203" s="23"/>
      <c r="D203" s="23" t="str">
        <f>VLOOKUP("333/28 × 7",Sprachindex!A:Z,Info!$O$6,FALSE)</f>
        <v>333/28 × 7</v>
      </c>
      <c r="E203" s="23"/>
    </row>
    <row r="204" spans="1:5">
      <c r="A204" s="23"/>
      <c r="B204" s="23"/>
      <c r="C204" s="23"/>
      <c r="D204" s="23" t="str">
        <f>VLOOKUP("400/30 × 7",Sprachindex!A:Z,Info!$O$6,FALSE)</f>
        <v>400/30 × 7</v>
      </c>
      <c r="E204" s="23"/>
    </row>
    <row r="205" spans="1:5">
      <c r="A205" s="23"/>
      <c r="B205" s="23"/>
      <c r="C205" s="23"/>
      <c r="D205" s="23" t="str">
        <f>VLOOKUP("500/35 × 7",Sprachindex!A:Z,Info!$O$6,FALSE)</f>
        <v>500/35 × 7</v>
      </c>
      <c r="E205" s="23"/>
    </row>
    <row r="209" spans="1:5">
      <c r="A209" s="24" t="s">
        <v>2525</v>
      </c>
      <c r="B209" s="24"/>
      <c r="C209" s="23"/>
      <c r="D209" s="23"/>
    </row>
    <row r="210" spans="1:5">
      <c r="A210" s="24" t="str">
        <f>IF('RI_P.10'!N17=0,"",IF('RI_P.10'!N17=1,D210,IF('RI_P.10'!N17=3,D211,A169)))</f>
        <v/>
      </c>
      <c r="B210" s="24"/>
      <c r="C210" s="23"/>
      <c r="D210" s="23" t="str">
        <f>VLOOKUP("250/23 × 7",Sprachindex!A:Z,Info!$O$6,FALSE)</f>
        <v>250/23 × 7</v>
      </c>
    </row>
    <row r="211" spans="1:5">
      <c r="A211" s="23"/>
      <c r="B211" s="23"/>
      <c r="C211" s="23"/>
      <c r="D211" s="23" t="str">
        <f>VLOOKUP("333/28 × 7",Sprachindex!A:Z,Info!$O$6,FALSE)</f>
        <v>333/28 × 7</v>
      </c>
    </row>
    <row r="213" spans="1:5">
      <c r="A213" s="23" t="s">
        <v>2526</v>
      </c>
      <c r="B213" s="23"/>
    </row>
    <row r="214" spans="1:5">
      <c r="A214" s="23" t="str">
        <f>IF('RI_P.10'!N17=0,"",IF('RI_P.10'!N17=1,E184,IF('RI_P.10'!N17=3,E186,IF('RI_P.10'!N17=4,E187,A169))))</f>
        <v/>
      </c>
      <c r="B214" s="23"/>
    </row>
    <row r="216" spans="1:5">
      <c r="A216" s="23" t="s">
        <v>2527</v>
      </c>
      <c r="B216" s="23"/>
    </row>
    <row r="217" spans="1:5">
      <c r="A217" s="23" t="str">
        <f>IF(OR('RI_P.10'!N17=0,'RI_P.10'!N18=0),"",IF(AND('RI_P.10'!N17=1,'RI_P.10'!N18=2),Formeln_RI_P.10!E184&amp;" x "&amp;Formeln_RI_P.10!F185,IF(AND('RI_P.10'!N17=3,'RI_P.10'!N18=3),Formeln_RI_P.10!E186&amp;" x "&amp;Formeln_RI_P.10!F186,IF(AND('RI_P.10'!N17=4,'RI_P.10'!N18=4),Formeln_RI_P.10!E187 &amp; " x " &amp; Formeln_RI_P.10!F187,IF(AND('RI_P.10'!N17=5,'RI_P.10'!N18=4),Formeln_RI_P.10!E188 &amp; " x " &amp; Formeln_RI_P.10!F187,IF(AND('RI_P.10'!N17=5,'RI_P.10'!N18=5),Formeln_RI_P.10!E188 &amp; " x " &amp; Formeln_RI_P.10!F188,A169))))))</f>
        <v/>
      </c>
      <c r="B217" s="23"/>
      <c r="E217" s="23"/>
    </row>
    <row r="218" spans="1:5">
      <c r="E218" s="23" t="str">
        <f>IF(AND('RI_P.10'!$N$30=0,'RI_P.10'!$N$31=0),"",IF(AND('RI_P.10'!N17=1,'RI_P.10'!N18=2),Formeln_RI_P.10!E184 &amp; " x " &amp; Formeln_RI_P.10!F185,IF(AND('RI_P.10'!N17=3,'RI_P.10'!N18=3),Formeln_RI_P.10!E186 &amp; " x " &amp; Formeln_RI_P.10!F186,IF(AND('RI_P.10'!N17=4,'RI_P.10'!N18=4),Formeln_RI_P.10!E187 &amp; " x " &amp; Formeln_RI_P.10!F187,IF(AND('RI_P.10'!N17=5,'RI_P.10'!N18=4),Formeln_RI_P.10!E188 &amp; " x " &amp; Formeln_RI_P.10!F187,A169)))))</f>
        <v/>
      </c>
    </row>
    <row r="219" spans="1:5">
      <c r="E219" s="23" t="str">
        <f>IF(AND('RI_P.10'!N17=5,'RI_P.10'!N18=5),E188 &amp; " x " &amp; F188,"")</f>
        <v/>
      </c>
    </row>
    <row r="221" spans="1:5">
      <c r="A221" s="23" t="s">
        <v>2528</v>
      </c>
      <c r="B221" s="23"/>
    </row>
    <row r="222" spans="1:5">
      <c r="A222" s="23" t="str">
        <f>IF('RI_P.10'!N18=0,"",IF('RI_P.10'!N18=2,F185,IF('RI_P.10'!N18=3,F186,IF('RI_P.10'!N18=4,F187,IF('RI_P.10'!N18=5,F188,A169)))))</f>
        <v/>
      </c>
    </row>
    <row r="224" spans="1:5">
      <c r="A224" s="23" t="s">
        <v>2552</v>
      </c>
      <c r="B224" s="23"/>
      <c r="C224" s="23"/>
      <c r="D224" s="23"/>
    </row>
    <row r="225" spans="1:2">
      <c r="A225" s="23" t="str">
        <f>IF('RI_P.10'!N18=0,"",IF('RI_P.10'!N18=1,F184,IF('RI_P.10'!N18=2,F185,IF('RI_P.10'!N18=3,F186,IF('RI_P.10'!N18=4,F187,IF('RI_P.10'!N18=5,F188,A169))))))</f>
        <v/>
      </c>
    </row>
    <row r="227" spans="1:2">
      <c r="A227" s="23" t="s">
        <v>2530</v>
      </c>
    </row>
    <row r="228" spans="1:2">
      <c r="A228" s="23" t="str">
        <f>IF('RI_P.10'!N18=1,F184,IF('RI_P.10'!N18=2,F185,IF('RI_P.10'!N18=3,F186,IF('RI_P.10'!N18=4,F187,IF('RI_P.10'!N18=5,F188,"")))))</f>
        <v/>
      </c>
    </row>
    <row r="230" spans="1:2">
      <c r="A230" s="23" t="s">
        <v>2531</v>
      </c>
    </row>
    <row r="231" spans="1:2">
      <c r="A231" s="23" t="str">
        <f>IF('RI_P.10'!N18=0,"",IF('RI_P.10'!N18=2,F185,IF('RI_P.10'!N18=3,F186,IF('RI_P.10'!N18=4,F187,A169))))</f>
        <v/>
      </c>
    </row>
    <row r="233" spans="1:2">
      <c r="A233" s="23" t="s">
        <v>2532</v>
      </c>
    </row>
    <row r="234" spans="1:2">
      <c r="A234" s="23"/>
    </row>
    <row r="235" spans="1:2">
      <c r="A235" s="23" t="str">
        <f>IF('RI_P.10'!N18=2,"80 x " &amp; F184,IF('RI_P.10'!N18=3,"100 x " &amp; F184,IF('RI_P.10'!N18=4,"120 x " &amp; F185,"")))</f>
        <v/>
      </c>
      <c r="B235">
        <v>1</v>
      </c>
    </row>
    <row r="236" spans="1:2">
      <c r="A236" s="23" t="str">
        <f>IF('RI_P.10'!N18=2,"80 x " &amp; F185,IF('RI_P.10'!N18=3,"100 x " &amp; F185,IF('RI_P.10'!N18=4,"120 x " &amp; F186,"")))</f>
        <v/>
      </c>
      <c r="B236">
        <v>2</v>
      </c>
    </row>
    <row r="237" spans="1:2">
      <c r="A237" s="23" t="str">
        <f>IF('RI_P.10'!N18=3,"100 x " &amp; F186,IF('RI_P.10'!N18=4,"120 x " &amp; F187,""))</f>
        <v/>
      </c>
      <c r="B237">
        <v>3</v>
      </c>
    </row>
    <row r="239" spans="1:2">
      <c r="A239" s="23" t="s">
        <v>2553</v>
      </c>
    </row>
    <row r="240" spans="1:2">
      <c r="A240" s="23" t="str">
        <f>IF('RI_P.10'!N18=0,VLOOKUP("60 ⌀ × 3.000 mm",Sprachindex!A:Z,Info!$O$6,FALSE),IF('RI_P.10'!N18=1,VLOOKUP("60 ⌀ × 3.000 mm",Sprachindex!A:Z,Info!$O$6,FALSE),A169))</f>
        <v>60 ⌀ × 3.000 mm</v>
      </c>
    </row>
    <row r="242" spans="1:3">
      <c r="A242" s="23" t="s">
        <v>2534</v>
      </c>
    </row>
    <row r="243" spans="1:3">
      <c r="A243" s="23" t="str">
        <f>IF('RI_P.10'!N18=0,VLOOKUP("100 ⌀ × 1.450 mm",Sprachindex!A:Z,Info!$O$6,FALSE),IF('RI_P.10'!N18=3,VLOOKUP("100 ⌀ × 1.450 mm",Sprachindex!A:Z,Info!$O$6,FALSE),A169))</f>
        <v>100 ⌀ × 1.450 mm</v>
      </c>
    </row>
    <row r="245" spans="1:3">
      <c r="A245" s="23" t="s">
        <v>2535</v>
      </c>
    </row>
    <row r="246" spans="1:3">
      <c r="A246" s="23" t="str">
        <f>IF('RI_P.10'!N18=0,VLOOKUP("100 ⌀ 700–1.100 mm",Sprachindex!A:Z,Info!$O$6,FALSE),IF('RI_P.10'!N18=3,VLOOKUP("100 ⌀ 700–1.100 mm",Sprachindex!A:Z,Info!$O$6,FALSE),A169))</f>
        <v>100 ⌀ 700–1.100 mm</v>
      </c>
    </row>
    <row r="247" spans="1:3">
      <c r="C247" t="s">
        <v>722</v>
      </c>
    </row>
    <row r="248" spans="1:3">
      <c r="A248" s="23" t="s">
        <v>2536</v>
      </c>
      <c r="C248" t="s">
        <v>734</v>
      </c>
    </row>
    <row r="249" spans="1:3">
      <c r="A249" s="23"/>
      <c r="C249" t="s">
        <v>746</v>
      </c>
    </row>
    <row r="250" spans="1:3">
      <c r="A250" s="23" t="str">
        <f>IF('RI_P.10'!N18=0,"",IF('RI_P.10'!N18=2,C248,IF('RI_P.10'!N18=3,C249,IF('RI_P.10'!N18=4,C251,IF('RI_P.10'!N18=1,C247,"")))))</f>
        <v/>
      </c>
      <c r="C250" t="s">
        <v>758</v>
      </c>
    </row>
    <row r="251" spans="1:3">
      <c r="A251" s="23" t="str">
        <f>IF('RI_P.10'!N18=0,"",IF('RI_P.10'!N18=3,C250,""))</f>
        <v/>
      </c>
      <c r="C251" t="s">
        <v>770</v>
      </c>
    </row>
    <row r="253" spans="1:3">
      <c r="A253" s="23" t="s">
        <v>2537</v>
      </c>
      <c r="C253" t="s">
        <v>2538</v>
      </c>
    </row>
    <row r="254" spans="1:3">
      <c r="A254" s="23" t="str">
        <f>IF('RI_P.10'!N18=0,"",IF('RI_P.10'!N18=2,C253,IF('RI_P.10'!N18=3,C254,IF('RI_P.10'!N18=4,C255,A169))))</f>
        <v/>
      </c>
      <c r="C254" t="s">
        <v>2539</v>
      </c>
    </row>
    <row r="255" spans="1:3">
      <c r="A255" s="23"/>
      <c r="C255" t="s">
        <v>2540</v>
      </c>
    </row>
    <row r="257" spans="1:1">
      <c r="A257" s="23" t="s">
        <v>2541</v>
      </c>
    </row>
    <row r="258" spans="1:1">
      <c r="A258" s="23"/>
    </row>
    <row r="259" spans="1:1">
      <c r="A259" s="27" t="str">
        <f>VLOOKUP("4 × 9,5 mm",Sprachindex!A:Z,Info!$O$6,FALSE)</f>
        <v>4 × 9,5 mm</v>
      </c>
    </row>
    <row r="260" spans="1:1">
      <c r="A260" s="27" t="str">
        <f>VLOOKUP("4,8 × 17 mm",Sprachindex!A:Z,Info!$O$6,FALSE)</f>
        <v>4,8 × 17 mm</v>
      </c>
    </row>
    <row r="262" spans="1:1">
      <c r="A262" s="23" t="s">
        <v>2542</v>
      </c>
    </row>
    <row r="263" spans="1:1">
      <c r="A263" s="23"/>
    </row>
    <row r="264" spans="1:1">
      <c r="A264" s="23" t="str">
        <f>VLOOKUP("0,75 l Dose",Sprachindex!A:Z,Info!$O$6,FALSE)</f>
        <v>0,75 l Dose</v>
      </c>
    </row>
    <row r="265" spans="1:1">
      <c r="A265" s="26" t="str">
        <f>VLOOKUP("50 ml Dose mit Pinsel",Sprachindex!A:Z,Info!$O$6,FALSE)</f>
        <v>50 ml Dose mit Pinsel</v>
      </c>
    </row>
    <row r="267" spans="1:1">
      <c r="A267" s="23" t="s">
        <v>2543</v>
      </c>
    </row>
    <row r="268" spans="1:1">
      <c r="A268" s="23" t="str">
        <f>IF('RI_P.10'!N18=0,"",IF('RI_P.10'!N18=2,F185,IF('RI_P.10'!N18=3,F186,IF('RI_P.10'!N18=4,F187,IF('RI_P.10'!N18=1,F184,A169)))))</f>
        <v/>
      </c>
    </row>
    <row r="271" spans="1:1">
      <c r="A271" t="s">
        <v>2544</v>
      </c>
    </row>
    <row r="273" spans="1:1">
      <c r="A273" s="169" t="s">
        <v>2545</v>
      </c>
    </row>
    <row r="274" spans="1:1">
      <c r="A274" s="169" t="s">
        <v>2546</v>
      </c>
    </row>
    <row r="275" spans="1:1">
      <c r="A275" s="169" t="s">
        <v>2547</v>
      </c>
    </row>
    <row r="277" spans="1:1">
      <c r="A277" t="str">
        <f>VLOOKUP("140 mm",Sprachindex!A:Z,Info!$O$6,FALSE)</f>
        <v>140 mm</v>
      </c>
    </row>
    <row r="278" spans="1:1">
      <c r="A278" t="str">
        <f>VLOOKUP("330 mm",Sprachindex!A:Z,Info!$O$6,FALSE)</f>
        <v>330 mm</v>
      </c>
    </row>
    <row r="280" spans="1:1">
      <c r="A280" s="232" t="str">
        <f>VLOOKUP("01 braun",Sprachindex!A:Z,Info!$O$6,FALSE)</f>
        <v>01 braun</v>
      </c>
    </row>
    <row r="281" spans="1:1">
      <c r="A281" s="232" t="str">
        <f>VLOOKUP("02 anthrazit",Sprachindex!A:Z,Info!$O$6,FALSE)</f>
        <v>02 anthrazit</v>
      </c>
    </row>
    <row r="282" spans="1:1">
      <c r="A282" s="232" t="str">
        <f>VLOOKUP("07 hellgrau",Sprachindex!A:Z,Info!$O$6,FALSE)</f>
        <v>07 hellgrau</v>
      </c>
    </row>
    <row r="283" spans="1:1">
      <c r="A283" s="232" t="str">
        <f>VLOOKUP("03 schwarz",Sprachindex!A:Z,Info!$O$6,FALSE)</f>
        <v>03 schwarz</v>
      </c>
    </row>
    <row r="284" spans="1:1">
      <c r="A284" s="232" t="str">
        <f>VLOOKUP("10 prefaweiß",Sprachindex!A:Z,Info!$O$6,FALSE)</f>
        <v>10 prefaweiß</v>
      </c>
    </row>
    <row r="285" spans="1:1">
      <c r="A285" s="232" t="str">
        <f>VLOOKUP("11 nussbraun",Sprachindex!A:Z,Info!$O$6,FALSE)</f>
        <v>11 nussbraun</v>
      </c>
    </row>
    <row r="286" spans="1:1">
      <c r="A286" s="232" t="str">
        <f>VLOOKUP("19 dunkelgrau",Sprachindex!A:Z,Info!$O$6,FALSE)</f>
        <v>19 dunkelgrau</v>
      </c>
    </row>
    <row r="294" spans="1:1">
      <c r="A294" t="str">
        <f>"1.000" &amp; " " &amp; VLOOKUP("Stk",Sprachindex!A:Z,Info!$O$6,FALSE)</f>
        <v>1.000 STK</v>
      </c>
    </row>
    <row r="295" spans="1:1">
      <c r="A295" t="str">
        <f>"500" &amp; " " &amp; VLOOKUP("Stk",Sprachindex!A:Z,Info!$O$6,FALSE)</f>
        <v>500 STK</v>
      </c>
    </row>
    <row r="297" spans="1:1">
      <c r="A297" t="s">
        <v>2548</v>
      </c>
    </row>
    <row r="299" spans="1:1">
      <c r="A299" t="str">
        <f>VLOOKUP("Ø 110/100 mm",Sprachindex!A:Z,Info!$O$6,FALSE)</f>
        <v>Ø 110/100 mm</v>
      </c>
    </row>
    <row r="300" spans="1:1">
      <c r="A300" t="str">
        <f>VLOOKUP("Ø 125/120 mm",Sprachindex!A:Z,Info!$O$6,FALSE)</f>
        <v>Ø 125/120 mm</v>
      </c>
    </row>
    <row r="434" spans="2:14"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</row>
    <row r="435" spans="2:14"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</row>
  </sheetData>
  <conditionalFormatting sqref="G42:J42">
    <cfRule type="expression" priority="1">
      <formula>$G$42=$A$14</formula>
    </cfRule>
  </conditionalFormatting>
  <conditionalFormatting sqref="I37:J37">
    <cfRule type="expression" priority="5">
      <formula>$I$37=$A$159:$A$161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A91203-A6A2-4813-81F0-4CF7296565C3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" id="{CDA08872-B987-4B2A-BEA7-54A39D37C6C4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H85</xm:sqref>
        </x14:conditionalFormatting>
        <x14:conditionalFormatting xmlns:xm="http://schemas.microsoft.com/office/excel/2006/main">
          <x14:cfRule type="expression" priority="4" id="{F9A9B413-8847-4631-9F8D-3ACF794F9287}">
            <xm:f>RI!#REF!=$A$27</xm:f>
            <x14:dxf/>
          </x14:cfRule>
          <xm:sqref>I47:J47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31"/>
  <dimension ref="A1:O460"/>
  <sheetViews>
    <sheetView topLeftCell="N1" workbookViewId="0">
      <pane ySplit="1" topLeftCell="A425" activePane="bottomLeft" state="frozen"/>
      <selection pane="bottomLeft" activeCell="N444" sqref="N444"/>
    </sheetView>
  </sheetViews>
  <sheetFormatPr baseColWidth="10" defaultColWidth="11.44140625" defaultRowHeight="14.4"/>
  <cols>
    <col min="1" max="1" width="124.88671875" style="146" bestFit="1" customWidth="1"/>
    <col min="2" max="2" width="120" style="146" bestFit="1" customWidth="1"/>
    <col min="3" max="3" width="164.109375" style="146" bestFit="1" customWidth="1"/>
    <col min="4" max="4" width="121.33203125" style="146" bestFit="1" customWidth="1"/>
    <col min="5" max="5" width="111" style="146" bestFit="1" customWidth="1"/>
    <col min="6" max="6" width="121.6640625" style="146" bestFit="1" customWidth="1"/>
    <col min="7" max="7" width="103.6640625" style="146" bestFit="1" customWidth="1"/>
    <col min="8" max="8" width="118.44140625" style="146" bestFit="1" customWidth="1"/>
    <col min="9" max="9" width="117" bestFit="1" customWidth="1"/>
    <col min="10" max="10" width="108.33203125" style="146" bestFit="1" customWidth="1"/>
    <col min="11" max="11" width="102.6640625" style="146" bestFit="1" customWidth="1"/>
    <col min="12" max="12" width="88" bestFit="1" customWidth="1"/>
    <col min="13" max="13" width="103.6640625" bestFit="1" customWidth="1"/>
    <col min="14" max="14" width="128.44140625" style="146" bestFit="1" customWidth="1"/>
    <col min="15" max="15" width="124.88671875" style="146" bestFit="1" customWidth="1"/>
    <col min="16" max="16384" width="11.44140625" style="146"/>
  </cols>
  <sheetData>
    <row r="1" spans="1:15">
      <c r="A1" s="145" t="s">
        <v>2554</v>
      </c>
      <c r="B1" s="145" t="s">
        <v>2555</v>
      </c>
      <c r="C1" s="145" t="s">
        <v>2556</v>
      </c>
      <c r="D1" s="145" t="s">
        <v>2557</v>
      </c>
      <c r="E1" s="145" t="s">
        <v>2558</v>
      </c>
      <c r="F1" s="145" t="s">
        <v>2559</v>
      </c>
      <c r="G1" s="145" t="s">
        <v>2560</v>
      </c>
      <c r="H1" s="145" t="s">
        <v>2561</v>
      </c>
      <c r="I1" s="172" t="s">
        <v>2562</v>
      </c>
      <c r="J1" s="145" t="s">
        <v>2563</v>
      </c>
      <c r="K1" s="175" t="s">
        <v>2564</v>
      </c>
      <c r="L1" s="172" t="s">
        <v>2565</v>
      </c>
      <c r="M1" s="172" t="s">
        <v>2566</v>
      </c>
      <c r="N1" s="145" t="s">
        <v>2567</v>
      </c>
      <c r="O1" s="145" t="s">
        <v>2568</v>
      </c>
    </row>
    <row r="2" spans="1:15" ht="15" customHeight="1">
      <c r="A2" s="146" t="s">
        <v>2569</v>
      </c>
      <c r="B2" s="146" t="s">
        <v>2570</v>
      </c>
      <c r="C2" s="146" t="s">
        <v>2571</v>
      </c>
      <c r="D2" s="146" t="s">
        <v>2572</v>
      </c>
      <c r="E2" s="146" t="s">
        <v>2573</v>
      </c>
      <c r="F2" s="146" t="s">
        <v>2574</v>
      </c>
      <c r="G2" s="146" t="s">
        <v>2575</v>
      </c>
      <c r="H2" s="146" t="s">
        <v>2576</v>
      </c>
      <c r="I2" t="s">
        <v>2577</v>
      </c>
      <c r="J2" s="146" t="s">
        <v>2578</v>
      </c>
      <c r="K2" s="146" t="s">
        <v>2579</v>
      </c>
      <c r="L2" t="s">
        <v>2580</v>
      </c>
      <c r="M2" t="s">
        <v>2579</v>
      </c>
      <c r="N2" s="146" t="s">
        <v>2581</v>
      </c>
      <c r="O2" s="146" t="s">
        <v>2569</v>
      </c>
    </row>
    <row r="3" spans="1:15">
      <c r="A3" s="146" t="s">
        <v>2582</v>
      </c>
      <c r="B3" s="146" t="s">
        <v>2583</v>
      </c>
      <c r="C3" s="146" t="s">
        <v>2584</v>
      </c>
      <c r="D3" s="146" t="s">
        <v>2585</v>
      </c>
      <c r="E3" s="146" t="s">
        <v>2586</v>
      </c>
      <c r="F3" s="146" t="s">
        <v>2587</v>
      </c>
      <c r="G3" s="146" t="s">
        <v>2588</v>
      </c>
      <c r="H3" s="146" t="s">
        <v>2589</v>
      </c>
      <c r="I3" t="s">
        <v>2590</v>
      </c>
      <c r="J3" s="146" t="s">
        <v>2591</v>
      </c>
      <c r="K3" s="146" t="s">
        <v>2592</v>
      </c>
      <c r="L3" t="s">
        <v>2593</v>
      </c>
      <c r="M3" t="s">
        <v>2594</v>
      </c>
      <c r="N3" s="146" t="s">
        <v>2595</v>
      </c>
      <c r="O3" s="146" t="s">
        <v>2582</v>
      </c>
    </row>
    <row r="4" spans="1:15">
      <c r="A4" s="146" t="s">
        <v>2596</v>
      </c>
      <c r="B4" s="146" t="s">
        <v>2597</v>
      </c>
      <c r="C4" s="146" t="s">
        <v>2598</v>
      </c>
      <c r="D4" s="146" t="s">
        <v>2599</v>
      </c>
      <c r="E4" s="146" t="s">
        <v>2600</v>
      </c>
      <c r="F4" s="146" t="s">
        <v>2601</v>
      </c>
      <c r="G4" s="146" t="s">
        <v>2602</v>
      </c>
      <c r="H4" s="146" t="s">
        <v>2603</v>
      </c>
      <c r="I4" t="s">
        <v>2604</v>
      </c>
      <c r="J4" s="146" t="s">
        <v>2605</v>
      </c>
      <c r="K4" s="146" t="s">
        <v>2606</v>
      </c>
      <c r="L4" t="s">
        <v>2607</v>
      </c>
      <c r="M4" t="s">
        <v>2608</v>
      </c>
      <c r="N4" s="146" t="s">
        <v>2609</v>
      </c>
      <c r="O4" s="146" t="s">
        <v>2596</v>
      </c>
    </row>
    <row r="5" spans="1:15">
      <c r="A5" s="146" t="s">
        <v>2610</v>
      </c>
      <c r="B5" s="146" t="s">
        <v>2611</v>
      </c>
      <c r="C5" s="146" t="s">
        <v>2612</v>
      </c>
      <c r="D5" s="146" t="s">
        <v>2613</v>
      </c>
      <c r="E5" s="146" t="s">
        <v>2614</v>
      </c>
      <c r="F5" s="146" t="s">
        <v>2615</v>
      </c>
      <c r="G5" s="146" t="s">
        <v>2616</v>
      </c>
      <c r="H5" s="146" t="s">
        <v>2617</v>
      </c>
      <c r="I5" t="s">
        <v>2618</v>
      </c>
      <c r="J5" s="146" t="s">
        <v>2619</v>
      </c>
      <c r="K5" s="146" t="s">
        <v>2620</v>
      </c>
      <c r="L5" t="s">
        <v>2621</v>
      </c>
      <c r="M5" t="s">
        <v>2622</v>
      </c>
      <c r="N5" s="146" t="s">
        <v>2623</v>
      </c>
      <c r="O5" s="146" t="s">
        <v>2610</v>
      </c>
    </row>
    <row r="6" spans="1:15">
      <c r="A6" s="146" t="s">
        <v>2624</v>
      </c>
      <c r="B6" s="146" t="s">
        <v>2625</v>
      </c>
      <c r="C6" s="146" t="s">
        <v>2626</v>
      </c>
      <c r="D6" s="146" t="s">
        <v>2627</v>
      </c>
      <c r="E6" s="146" t="s">
        <v>2628</v>
      </c>
      <c r="F6" s="146" t="s">
        <v>2629</v>
      </c>
      <c r="G6" s="146" t="s">
        <v>2630</v>
      </c>
      <c r="H6" s="146" t="s">
        <v>2631</v>
      </c>
      <c r="I6" t="s">
        <v>2632</v>
      </c>
      <c r="J6" s="146" t="s">
        <v>2633</v>
      </c>
      <c r="K6" s="146" t="s">
        <v>2634</v>
      </c>
      <c r="L6" t="s">
        <v>2635</v>
      </c>
      <c r="M6" t="s">
        <v>2634</v>
      </c>
      <c r="N6" s="146" t="s">
        <v>2636</v>
      </c>
      <c r="O6" s="146" t="s">
        <v>2624</v>
      </c>
    </row>
    <row r="7" spans="1:15">
      <c r="A7" s="146" t="s">
        <v>2339</v>
      </c>
      <c r="B7" s="146" t="s">
        <v>2637</v>
      </c>
      <c r="C7" s="146" t="s">
        <v>2638</v>
      </c>
      <c r="D7" s="146" t="s">
        <v>2639</v>
      </c>
      <c r="E7" s="146" t="s">
        <v>2339</v>
      </c>
      <c r="F7" s="146" t="s">
        <v>2639</v>
      </c>
      <c r="G7" s="146" t="s">
        <v>2640</v>
      </c>
      <c r="H7" s="146" t="s">
        <v>2640</v>
      </c>
      <c r="I7" t="s">
        <v>2641</v>
      </c>
      <c r="J7" s="146" t="s">
        <v>2642</v>
      </c>
      <c r="K7" s="146" t="s">
        <v>2641</v>
      </c>
      <c r="L7" t="s">
        <v>2643</v>
      </c>
      <c r="M7" t="s">
        <v>2643</v>
      </c>
      <c r="N7" s="146" t="s">
        <v>2339</v>
      </c>
      <c r="O7" s="146" t="s">
        <v>2339</v>
      </c>
    </row>
    <row r="8" spans="1:15">
      <c r="A8" s="146" t="s">
        <v>2644</v>
      </c>
      <c r="B8" s="146" t="s">
        <v>2645</v>
      </c>
      <c r="C8" s="146" t="s">
        <v>2646</v>
      </c>
      <c r="D8" s="146" t="s">
        <v>2647</v>
      </c>
      <c r="E8" s="146" t="s">
        <v>2648</v>
      </c>
      <c r="F8" s="146" t="s">
        <v>2649</v>
      </c>
      <c r="G8" s="146" t="s">
        <v>2650</v>
      </c>
      <c r="H8" s="146" t="s">
        <v>2651</v>
      </c>
      <c r="I8" t="s">
        <v>2652</v>
      </c>
      <c r="J8" s="146" t="s">
        <v>2653</v>
      </c>
      <c r="K8" s="146" t="s">
        <v>2654</v>
      </c>
      <c r="L8" t="s">
        <v>2655</v>
      </c>
      <c r="M8" t="s">
        <v>2656</v>
      </c>
      <c r="N8" s="146" t="s">
        <v>2657</v>
      </c>
      <c r="O8" s="146" t="s">
        <v>2644</v>
      </c>
    </row>
    <row r="9" spans="1:15">
      <c r="A9" s="146" t="s">
        <v>2658</v>
      </c>
      <c r="B9" s="146" t="s">
        <v>2658</v>
      </c>
      <c r="C9" s="146" t="s">
        <v>2659</v>
      </c>
      <c r="D9" s="146" t="s">
        <v>2660</v>
      </c>
      <c r="E9" s="146" t="s">
        <v>2661</v>
      </c>
      <c r="F9" s="146" t="s">
        <v>2662</v>
      </c>
      <c r="G9" s="146" t="s">
        <v>2663</v>
      </c>
      <c r="H9" s="146" t="s">
        <v>2664</v>
      </c>
      <c r="I9" t="s">
        <v>2665</v>
      </c>
      <c r="J9" s="146" t="s">
        <v>2666</v>
      </c>
      <c r="K9" s="146" t="s">
        <v>2667</v>
      </c>
      <c r="L9" t="s">
        <v>2668</v>
      </c>
      <c r="M9" t="s">
        <v>2668</v>
      </c>
      <c r="N9" s="146" t="s">
        <v>2669</v>
      </c>
      <c r="O9" s="146" t="s">
        <v>2658</v>
      </c>
    </row>
    <row r="10" spans="1:15">
      <c r="A10" s="146" t="s">
        <v>2670</v>
      </c>
      <c r="B10" s="146" t="s">
        <v>2671</v>
      </c>
      <c r="C10" s="146" t="s">
        <v>2672</v>
      </c>
      <c r="D10" s="146" t="s">
        <v>2673</v>
      </c>
      <c r="E10" s="146" t="s">
        <v>2674</v>
      </c>
      <c r="F10" s="146" t="s">
        <v>2675</v>
      </c>
      <c r="G10" s="146" t="s">
        <v>2676</v>
      </c>
      <c r="H10" s="146" t="s">
        <v>2675</v>
      </c>
      <c r="I10" t="s">
        <v>2677</v>
      </c>
      <c r="J10" s="146" t="s">
        <v>2678</v>
      </c>
      <c r="K10" s="146" t="s">
        <v>2679</v>
      </c>
      <c r="L10" t="s">
        <v>2680</v>
      </c>
      <c r="M10" t="s">
        <v>2681</v>
      </c>
      <c r="N10" s="146" t="s">
        <v>2675</v>
      </c>
      <c r="O10" s="146" t="s">
        <v>2670</v>
      </c>
    </row>
    <row r="11" spans="1:15">
      <c r="A11" s="146" t="s">
        <v>2682</v>
      </c>
      <c r="B11" s="146" t="s">
        <v>2683</v>
      </c>
      <c r="C11" s="146" t="s">
        <v>2684</v>
      </c>
      <c r="D11" s="146" t="s">
        <v>2685</v>
      </c>
      <c r="E11" s="146" t="s">
        <v>2686</v>
      </c>
      <c r="F11" s="146" t="s">
        <v>2687</v>
      </c>
      <c r="G11" s="146" t="s">
        <v>2688</v>
      </c>
      <c r="H11" s="146" t="s">
        <v>2686</v>
      </c>
      <c r="I11" t="s">
        <v>2689</v>
      </c>
      <c r="J11" s="146" t="s">
        <v>2690</v>
      </c>
      <c r="K11" s="146" t="s">
        <v>2691</v>
      </c>
      <c r="L11" t="s">
        <v>2692</v>
      </c>
      <c r="M11" t="s">
        <v>2692</v>
      </c>
      <c r="N11" s="146" t="s">
        <v>2693</v>
      </c>
      <c r="O11" s="146" t="s">
        <v>2682</v>
      </c>
    </row>
    <row r="12" spans="1:15">
      <c r="A12" s="146" t="s">
        <v>2694</v>
      </c>
      <c r="B12" s="146" t="s">
        <v>2695</v>
      </c>
      <c r="C12" s="146" t="s">
        <v>2696</v>
      </c>
      <c r="D12" s="146" t="s">
        <v>2697</v>
      </c>
      <c r="E12" s="146" t="s">
        <v>2698</v>
      </c>
      <c r="F12" s="146" t="s">
        <v>2698</v>
      </c>
      <c r="G12" s="146" t="s">
        <v>2699</v>
      </c>
      <c r="H12" s="146" t="s">
        <v>2698</v>
      </c>
      <c r="I12" t="s">
        <v>2700</v>
      </c>
      <c r="J12" s="146" t="s">
        <v>2701</v>
      </c>
      <c r="K12" s="146" t="s">
        <v>2702</v>
      </c>
      <c r="L12" t="s">
        <v>2702</v>
      </c>
      <c r="M12" t="s">
        <v>2702</v>
      </c>
      <c r="N12" s="146" t="s">
        <v>2703</v>
      </c>
      <c r="O12" s="146" t="s">
        <v>2694</v>
      </c>
    </row>
    <row r="13" spans="1:15">
      <c r="A13" s="146" t="s">
        <v>2704</v>
      </c>
      <c r="B13" s="146" t="s">
        <v>2705</v>
      </c>
      <c r="C13" s="146" t="s">
        <v>2706</v>
      </c>
      <c r="D13" s="146" t="s">
        <v>2707</v>
      </c>
      <c r="E13" s="146" t="s">
        <v>2704</v>
      </c>
      <c r="F13" s="146" t="s">
        <v>2704</v>
      </c>
      <c r="G13" s="146" t="s">
        <v>2704</v>
      </c>
      <c r="H13" s="146" t="s">
        <v>2708</v>
      </c>
      <c r="I13" t="s">
        <v>2709</v>
      </c>
      <c r="J13" s="146" t="s">
        <v>2710</v>
      </c>
      <c r="K13" s="146" t="s">
        <v>2711</v>
      </c>
      <c r="L13" t="s">
        <v>2711</v>
      </c>
      <c r="M13" t="s">
        <v>2711</v>
      </c>
      <c r="N13" s="146" t="s">
        <v>2704</v>
      </c>
      <c r="O13" s="146" t="s">
        <v>2704</v>
      </c>
    </row>
    <row r="14" spans="1:15">
      <c r="A14" s="146" t="s">
        <v>2712</v>
      </c>
      <c r="B14" s="146" t="s">
        <v>2713</v>
      </c>
      <c r="C14" s="146" t="s">
        <v>2714</v>
      </c>
      <c r="D14" s="146" t="s">
        <v>2715</v>
      </c>
      <c r="E14" s="146" t="s">
        <v>2716</v>
      </c>
      <c r="F14" s="146" t="s">
        <v>2713</v>
      </c>
      <c r="G14" s="146" t="s">
        <v>2713</v>
      </c>
      <c r="H14" s="146" t="s">
        <v>2716</v>
      </c>
      <c r="I14" t="s">
        <v>2717</v>
      </c>
      <c r="J14" s="146" t="s">
        <v>2718</v>
      </c>
      <c r="K14" s="146" t="s">
        <v>2719</v>
      </c>
      <c r="L14" t="s">
        <v>2717</v>
      </c>
      <c r="M14" t="s">
        <v>2719</v>
      </c>
      <c r="N14" s="146" t="s">
        <v>2720</v>
      </c>
      <c r="O14" s="146" t="s">
        <v>2712</v>
      </c>
    </row>
    <row r="15" spans="1:15">
      <c r="A15" s="146" t="s">
        <v>2721</v>
      </c>
      <c r="B15" s="146" t="s">
        <v>2722</v>
      </c>
      <c r="C15" s="146" t="s">
        <v>2723</v>
      </c>
      <c r="D15" s="146" t="s">
        <v>2724</v>
      </c>
      <c r="E15" s="146" t="s">
        <v>2725</v>
      </c>
      <c r="F15" s="146" t="s">
        <v>2726</v>
      </c>
      <c r="G15" s="146" t="s">
        <v>2727</v>
      </c>
      <c r="H15" s="146" t="s">
        <v>2728</v>
      </c>
      <c r="I15" t="s">
        <v>2729</v>
      </c>
      <c r="J15" s="146" t="s">
        <v>2730</v>
      </c>
      <c r="K15" s="146" t="s">
        <v>2731</v>
      </c>
      <c r="L15" t="s">
        <v>2732</v>
      </c>
      <c r="M15" t="s">
        <v>2732</v>
      </c>
      <c r="N15" s="146" t="s">
        <v>2733</v>
      </c>
      <c r="O15" s="146" t="s">
        <v>2721</v>
      </c>
    </row>
    <row r="16" spans="1:15">
      <c r="A16" s="146" t="s">
        <v>2658</v>
      </c>
      <c r="B16" s="146" t="s">
        <v>2658</v>
      </c>
      <c r="C16" s="146" t="s">
        <v>2659</v>
      </c>
      <c r="D16" s="146" t="s">
        <v>2660</v>
      </c>
      <c r="E16" s="146" t="s">
        <v>2661</v>
      </c>
      <c r="F16" s="146" t="s">
        <v>2662</v>
      </c>
      <c r="G16" s="146" t="s">
        <v>2663</v>
      </c>
      <c r="H16" s="146" t="s">
        <v>2664</v>
      </c>
      <c r="I16" t="s">
        <v>2665</v>
      </c>
      <c r="J16" s="146" t="s">
        <v>2666</v>
      </c>
      <c r="K16" s="146" t="s">
        <v>2667</v>
      </c>
      <c r="L16" t="s">
        <v>2668</v>
      </c>
      <c r="M16" t="s">
        <v>2668</v>
      </c>
      <c r="N16" s="146" t="s">
        <v>2669</v>
      </c>
      <c r="O16" s="146" t="s">
        <v>2658</v>
      </c>
    </row>
    <row r="17" spans="1:15">
      <c r="A17" s="146" t="s">
        <v>2734</v>
      </c>
      <c r="B17" s="146" t="s">
        <v>2735</v>
      </c>
      <c r="C17" s="146" t="s">
        <v>2736</v>
      </c>
      <c r="D17" s="146" t="s">
        <v>2737</v>
      </c>
      <c r="E17" s="146" t="s">
        <v>2738</v>
      </c>
      <c r="F17" s="146" t="s">
        <v>2739</v>
      </c>
      <c r="G17" s="146" t="s">
        <v>2740</v>
      </c>
      <c r="H17" s="146" t="s">
        <v>2741</v>
      </c>
      <c r="I17" t="s">
        <v>2742</v>
      </c>
      <c r="J17" s="146" t="s">
        <v>2743</v>
      </c>
      <c r="K17" s="146" t="s">
        <v>2744</v>
      </c>
      <c r="L17" t="s">
        <v>2744</v>
      </c>
      <c r="M17" t="s">
        <v>2745</v>
      </c>
      <c r="N17" s="146" t="s">
        <v>2746</v>
      </c>
      <c r="O17" s="146" t="s">
        <v>2734</v>
      </c>
    </row>
    <row r="18" spans="1:15">
      <c r="A18" s="146" t="s">
        <v>2670</v>
      </c>
      <c r="B18" s="146" t="s">
        <v>2671</v>
      </c>
      <c r="C18" s="146" t="s">
        <v>2672</v>
      </c>
      <c r="D18" s="146" t="s">
        <v>2673</v>
      </c>
      <c r="E18" s="146" t="s">
        <v>2674</v>
      </c>
      <c r="F18" s="146" t="s">
        <v>2675</v>
      </c>
      <c r="G18" s="146" t="s">
        <v>2676</v>
      </c>
      <c r="H18" s="146" t="s">
        <v>2675</v>
      </c>
      <c r="I18" t="s">
        <v>2677</v>
      </c>
      <c r="J18" s="146" t="s">
        <v>2747</v>
      </c>
      <c r="K18" s="146" t="s">
        <v>2679</v>
      </c>
      <c r="L18" t="s">
        <v>2680</v>
      </c>
      <c r="M18" t="s">
        <v>2681</v>
      </c>
      <c r="N18" s="146" t="s">
        <v>2675</v>
      </c>
      <c r="O18" s="146" t="s">
        <v>2670</v>
      </c>
    </row>
    <row r="19" spans="1:15">
      <c r="A19" s="146" t="s">
        <v>2682</v>
      </c>
      <c r="B19" s="146" t="s">
        <v>2683</v>
      </c>
      <c r="C19" s="146" t="s">
        <v>2684</v>
      </c>
      <c r="D19" s="146" t="s">
        <v>2685</v>
      </c>
      <c r="E19" s="146" t="s">
        <v>2686</v>
      </c>
      <c r="F19" s="146" t="s">
        <v>2687</v>
      </c>
      <c r="G19" s="146" t="s">
        <v>2748</v>
      </c>
      <c r="H19" s="146" t="s">
        <v>2686</v>
      </c>
      <c r="I19" t="s">
        <v>2689</v>
      </c>
      <c r="J19" s="146" t="s">
        <v>2690</v>
      </c>
      <c r="K19" s="146" t="s">
        <v>2691</v>
      </c>
      <c r="L19" t="s">
        <v>2692</v>
      </c>
      <c r="M19" t="s">
        <v>2692</v>
      </c>
      <c r="N19" s="146" t="s">
        <v>2693</v>
      </c>
      <c r="O19" s="146" t="s">
        <v>2682</v>
      </c>
    </row>
    <row r="20" spans="1:15">
      <c r="A20" s="146" t="s">
        <v>2749</v>
      </c>
      <c r="B20" s="146" t="s">
        <v>2750</v>
      </c>
      <c r="C20" s="146" t="s">
        <v>2751</v>
      </c>
      <c r="D20" s="146" t="s">
        <v>2752</v>
      </c>
      <c r="E20" s="146" t="s">
        <v>2753</v>
      </c>
      <c r="F20" s="146" t="s">
        <v>2754</v>
      </c>
      <c r="G20" s="146" t="s">
        <v>2755</v>
      </c>
      <c r="H20" s="146" t="s">
        <v>2753</v>
      </c>
      <c r="I20" t="s">
        <v>2756</v>
      </c>
      <c r="J20" s="146" t="s">
        <v>2757</v>
      </c>
      <c r="K20" s="146" t="s">
        <v>2758</v>
      </c>
      <c r="L20" t="s">
        <v>2759</v>
      </c>
      <c r="M20" t="s">
        <v>2760</v>
      </c>
      <c r="N20" s="146" t="s">
        <v>2761</v>
      </c>
      <c r="O20" s="146" t="s">
        <v>2749</v>
      </c>
    </row>
    <row r="21" spans="1:15">
      <c r="A21" s="146" t="s">
        <v>26</v>
      </c>
      <c r="B21" s="146" t="s">
        <v>26</v>
      </c>
      <c r="C21" s="146" t="s">
        <v>26</v>
      </c>
      <c r="D21" s="146" t="s">
        <v>2762</v>
      </c>
      <c r="E21" s="146" t="s">
        <v>2763</v>
      </c>
      <c r="F21" s="146" t="s">
        <v>2763</v>
      </c>
      <c r="G21" s="146" t="s">
        <v>2764</v>
      </c>
      <c r="H21" s="146" t="s">
        <v>2763</v>
      </c>
      <c r="I21" t="s">
        <v>2765</v>
      </c>
      <c r="J21" s="146" t="s">
        <v>26</v>
      </c>
      <c r="K21" s="146" t="s">
        <v>2766</v>
      </c>
      <c r="L21" t="s">
        <v>2765</v>
      </c>
      <c r="M21" t="s">
        <v>2765</v>
      </c>
      <c r="N21" s="146" t="s">
        <v>26</v>
      </c>
      <c r="O21" s="146" t="s">
        <v>26</v>
      </c>
    </row>
    <row r="22" spans="1:15">
      <c r="A22" s="146" t="s">
        <v>25</v>
      </c>
      <c r="B22" s="146" t="s">
        <v>2767</v>
      </c>
      <c r="C22" s="146" t="s">
        <v>2768</v>
      </c>
      <c r="D22" s="146" t="s">
        <v>2769</v>
      </c>
      <c r="E22" s="146" t="s">
        <v>2770</v>
      </c>
      <c r="F22" s="146" t="s">
        <v>2771</v>
      </c>
      <c r="G22" s="146" t="s">
        <v>2772</v>
      </c>
      <c r="H22" s="146" t="s">
        <v>2770</v>
      </c>
      <c r="I22" t="s">
        <v>2773</v>
      </c>
      <c r="J22" s="146" t="s">
        <v>2774</v>
      </c>
      <c r="K22" s="146" t="s">
        <v>2775</v>
      </c>
      <c r="L22" t="s">
        <v>2776</v>
      </c>
      <c r="M22" t="s">
        <v>2777</v>
      </c>
      <c r="N22" s="146" t="s">
        <v>2778</v>
      </c>
      <c r="O22" s="146" t="s">
        <v>25</v>
      </c>
    </row>
    <row r="23" spans="1:15">
      <c r="A23" s="146" t="s">
        <v>2779</v>
      </c>
      <c r="B23" s="146" t="s">
        <v>2780</v>
      </c>
      <c r="C23" s="146" t="s">
        <v>2781</v>
      </c>
      <c r="D23" s="146" t="s">
        <v>2782</v>
      </c>
      <c r="E23" s="146" t="s">
        <v>2783</v>
      </c>
      <c r="F23" s="146" t="s">
        <v>2784</v>
      </c>
      <c r="G23" s="146" t="s">
        <v>2785</v>
      </c>
      <c r="H23" s="146" t="s">
        <v>2786</v>
      </c>
      <c r="I23" t="s">
        <v>2787</v>
      </c>
      <c r="J23" s="146" t="s">
        <v>2788</v>
      </c>
      <c r="K23" s="146" t="s">
        <v>2789</v>
      </c>
      <c r="L23" t="s">
        <v>2790</v>
      </c>
      <c r="M23" t="s">
        <v>2791</v>
      </c>
      <c r="N23" s="146" t="s">
        <v>2792</v>
      </c>
      <c r="O23" s="146" t="s">
        <v>2779</v>
      </c>
    </row>
    <row r="24" spans="1:15">
      <c r="A24" s="146" t="s">
        <v>27</v>
      </c>
      <c r="B24" s="146" t="s">
        <v>2793</v>
      </c>
      <c r="C24" s="146" t="s">
        <v>2794</v>
      </c>
      <c r="D24" s="146" t="s">
        <v>2795</v>
      </c>
      <c r="E24" s="146" t="s">
        <v>2796</v>
      </c>
      <c r="F24" s="146" t="s">
        <v>2793</v>
      </c>
      <c r="G24" s="146" t="s">
        <v>2797</v>
      </c>
      <c r="H24" s="146" t="s">
        <v>2798</v>
      </c>
      <c r="I24" t="s">
        <v>2799</v>
      </c>
      <c r="J24" s="146" t="s">
        <v>2800</v>
      </c>
      <c r="K24" s="146" t="s">
        <v>2801</v>
      </c>
      <c r="L24" t="s">
        <v>2802</v>
      </c>
      <c r="M24" t="s">
        <v>2803</v>
      </c>
      <c r="N24" s="146" t="s">
        <v>2804</v>
      </c>
      <c r="O24" s="146" t="s">
        <v>27</v>
      </c>
    </row>
    <row r="25" spans="1:15">
      <c r="A25" s="146" t="s">
        <v>28</v>
      </c>
      <c r="B25" s="146" t="s">
        <v>2805</v>
      </c>
      <c r="C25" s="146" t="s">
        <v>2805</v>
      </c>
      <c r="D25" s="146" t="s">
        <v>2806</v>
      </c>
      <c r="E25" s="146" t="s">
        <v>2807</v>
      </c>
      <c r="F25" s="146" t="s">
        <v>2808</v>
      </c>
      <c r="G25" s="146" t="s">
        <v>2809</v>
      </c>
      <c r="H25" s="146" t="s">
        <v>2810</v>
      </c>
      <c r="I25" t="s">
        <v>2811</v>
      </c>
      <c r="J25" s="146" t="s">
        <v>2812</v>
      </c>
      <c r="K25" s="146" t="s">
        <v>2813</v>
      </c>
      <c r="L25" t="s">
        <v>2814</v>
      </c>
      <c r="M25" t="s">
        <v>2815</v>
      </c>
      <c r="N25" s="146" t="s">
        <v>2816</v>
      </c>
      <c r="O25" s="146" t="s">
        <v>28</v>
      </c>
    </row>
    <row r="26" spans="1:15">
      <c r="A26" s="146" t="s">
        <v>2817</v>
      </c>
      <c r="B26" s="146" t="s">
        <v>2818</v>
      </c>
      <c r="C26" s="146" t="s">
        <v>2819</v>
      </c>
      <c r="D26" s="146" t="s">
        <v>2820</v>
      </c>
      <c r="E26" s="146" t="s">
        <v>2821</v>
      </c>
      <c r="F26" s="146" t="s">
        <v>2822</v>
      </c>
      <c r="G26" s="146" t="s">
        <v>2823</v>
      </c>
      <c r="H26" s="146" t="s">
        <v>2824</v>
      </c>
      <c r="I26" t="s">
        <v>2825</v>
      </c>
      <c r="J26" s="146" t="s">
        <v>2826</v>
      </c>
      <c r="K26" s="146" t="s">
        <v>2827</v>
      </c>
      <c r="L26" t="s">
        <v>2828</v>
      </c>
      <c r="M26" t="s">
        <v>2829</v>
      </c>
      <c r="N26" s="146" t="s">
        <v>2830</v>
      </c>
      <c r="O26" s="146" t="s">
        <v>2817</v>
      </c>
    </row>
    <row r="27" spans="1:15">
      <c r="A27" s="146" t="s">
        <v>2831</v>
      </c>
      <c r="B27" s="146" t="s">
        <v>2832</v>
      </c>
      <c r="C27" s="146" t="s">
        <v>2833</v>
      </c>
      <c r="D27" s="146" t="s">
        <v>2834</v>
      </c>
      <c r="E27" s="146" t="s">
        <v>2835</v>
      </c>
      <c r="F27" s="146" t="s">
        <v>2836</v>
      </c>
      <c r="G27" s="146" t="s">
        <v>2837</v>
      </c>
      <c r="H27" s="146" t="s">
        <v>2838</v>
      </c>
      <c r="I27" t="s">
        <v>2839</v>
      </c>
      <c r="J27" s="146" t="s">
        <v>2840</v>
      </c>
      <c r="K27" s="146" t="s">
        <v>2841</v>
      </c>
      <c r="L27" t="s">
        <v>2841</v>
      </c>
      <c r="M27" t="s">
        <v>2841</v>
      </c>
      <c r="N27" s="146" t="s">
        <v>2842</v>
      </c>
      <c r="O27" s="146" t="s">
        <v>2831</v>
      </c>
    </row>
    <row r="28" spans="1:15">
      <c r="A28" s="146" t="s">
        <v>2843</v>
      </c>
      <c r="B28" s="146" t="s">
        <v>2844</v>
      </c>
      <c r="C28" s="146" t="s">
        <v>2844</v>
      </c>
      <c r="D28" s="146" t="s">
        <v>2845</v>
      </c>
      <c r="E28" s="146" t="s">
        <v>2846</v>
      </c>
      <c r="F28" s="146" t="s">
        <v>2847</v>
      </c>
      <c r="G28" s="146" t="s">
        <v>2846</v>
      </c>
      <c r="H28" s="146" t="s">
        <v>2848</v>
      </c>
      <c r="I28" t="s">
        <v>2849</v>
      </c>
      <c r="J28" s="146" t="s">
        <v>2850</v>
      </c>
      <c r="K28" s="146" t="s">
        <v>2851</v>
      </c>
      <c r="L28" t="s">
        <v>2852</v>
      </c>
      <c r="M28" t="s">
        <v>2853</v>
      </c>
      <c r="N28" s="146" t="s">
        <v>2846</v>
      </c>
      <c r="O28" s="146" t="s">
        <v>2843</v>
      </c>
    </row>
    <row r="29" spans="1:15">
      <c r="A29" s="146" t="s">
        <v>2854</v>
      </c>
      <c r="B29" s="146" t="s">
        <v>2855</v>
      </c>
      <c r="C29" s="146" t="s">
        <v>2856</v>
      </c>
      <c r="D29" s="146" t="s">
        <v>2857</v>
      </c>
      <c r="E29" s="146" t="s">
        <v>2858</v>
      </c>
      <c r="F29" s="146" t="s">
        <v>2859</v>
      </c>
      <c r="G29" s="146" t="s">
        <v>2860</v>
      </c>
      <c r="H29" s="146" t="s">
        <v>2861</v>
      </c>
      <c r="I29" t="s">
        <v>2862</v>
      </c>
      <c r="J29" s="146" t="s">
        <v>2863</v>
      </c>
      <c r="K29" s="146" t="s">
        <v>2864</v>
      </c>
      <c r="L29" t="s">
        <v>2865</v>
      </c>
      <c r="M29" t="s">
        <v>2864</v>
      </c>
      <c r="N29" s="146" t="s">
        <v>2866</v>
      </c>
      <c r="O29" s="146" t="s">
        <v>2854</v>
      </c>
    </row>
    <row r="30" spans="1:15">
      <c r="A30" s="146" t="s">
        <v>2867</v>
      </c>
      <c r="B30" s="146" t="s">
        <v>2868</v>
      </c>
      <c r="C30" s="146" t="s">
        <v>2869</v>
      </c>
      <c r="D30" s="146" t="s">
        <v>2870</v>
      </c>
      <c r="E30" s="146" t="s">
        <v>2871</v>
      </c>
      <c r="F30" s="146" t="s">
        <v>2872</v>
      </c>
      <c r="G30" s="146" t="s">
        <v>2873</v>
      </c>
      <c r="H30" s="146" t="s">
        <v>2874</v>
      </c>
      <c r="I30" t="s">
        <v>2875</v>
      </c>
      <c r="J30" s="146" t="s">
        <v>2876</v>
      </c>
      <c r="K30" s="146" t="s">
        <v>2877</v>
      </c>
      <c r="L30" t="s">
        <v>2878</v>
      </c>
      <c r="M30" t="s">
        <v>2879</v>
      </c>
      <c r="N30" s="146" t="s">
        <v>2880</v>
      </c>
      <c r="O30" s="146" t="s">
        <v>2867</v>
      </c>
    </row>
    <row r="31" spans="1:15">
      <c r="A31" s="146" t="s">
        <v>2881</v>
      </c>
      <c r="B31" s="146" t="s">
        <v>2882</v>
      </c>
      <c r="C31" s="146" t="s">
        <v>2883</v>
      </c>
      <c r="D31" s="146" t="s">
        <v>2884</v>
      </c>
      <c r="E31" s="146" t="s">
        <v>2885</v>
      </c>
      <c r="F31" s="146" t="s">
        <v>2886</v>
      </c>
      <c r="G31" s="146" t="s">
        <v>2887</v>
      </c>
      <c r="H31" s="146" t="s">
        <v>2888</v>
      </c>
      <c r="I31" t="s">
        <v>2889</v>
      </c>
      <c r="J31" s="146" t="s">
        <v>2890</v>
      </c>
      <c r="K31" s="146" t="s">
        <v>2891</v>
      </c>
      <c r="L31" t="s">
        <v>2892</v>
      </c>
      <c r="M31" t="s">
        <v>2893</v>
      </c>
      <c r="N31" s="146" t="s">
        <v>2894</v>
      </c>
      <c r="O31" s="146" t="s">
        <v>2881</v>
      </c>
    </row>
    <row r="32" spans="1:15">
      <c r="A32" s="146" t="s">
        <v>2895</v>
      </c>
      <c r="B32" s="146" t="s">
        <v>2896</v>
      </c>
      <c r="C32" s="146" t="s">
        <v>2897</v>
      </c>
      <c r="D32" s="146" t="s">
        <v>2898</v>
      </c>
      <c r="E32" s="146" t="s">
        <v>2899</v>
      </c>
      <c r="F32" s="146" t="s">
        <v>2900</v>
      </c>
      <c r="G32" s="146" t="s">
        <v>2901</v>
      </c>
      <c r="H32" s="146" t="s">
        <v>2902</v>
      </c>
      <c r="I32" t="s">
        <v>2903</v>
      </c>
      <c r="J32" s="146" t="s">
        <v>2904</v>
      </c>
      <c r="K32" s="146" t="s">
        <v>2905</v>
      </c>
      <c r="L32" t="s">
        <v>2906</v>
      </c>
      <c r="M32" t="s">
        <v>2907</v>
      </c>
      <c r="N32" s="146" t="s">
        <v>2908</v>
      </c>
      <c r="O32" s="146" t="s">
        <v>2895</v>
      </c>
    </row>
    <row r="33" spans="1:15">
      <c r="A33" s="146" t="s">
        <v>2909</v>
      </c>
      <c r="B33" s="146" t="s">
        <v>2910</v>
      </c>
      <c r="C33" s="146" t="s">
        <v>2911</v>
      </c>
      <c r="D33" s="146" t="s">
        <v>2912</v>
      </c>
      <c r="E33" s="146" t="s">
        <v>2913</v>
      </c>
      <c r="F33" s="146" t="s">
        <v>2914</v>
      </c>
      <c r="G33" s="146" t="s">
        <v>2915</v>
      </c>
      <c r="H33" s="146" t="s">
        <v>2916</v>
      </c>
      <c r="I33" t="s">
        <v>2917</v>
      </c>
      <c r="J33" s="146" t="s">
        <v>2918</v>
      </c>
      <c r="K33" s="146" t="s">
        <v>2919</v>
      </c>
      <c r="L33" t="s">
        <v>2920</v>
      </c>
      <c r="M33" t="s">
        <v>2920</v>
      </c>
      <c r="N33" s="146" t="s">
        <v>2921</v>
      </c>
      <c r="O33" s="146" t="s">
        <v>2909</v>
      </c>
    </row>
    <row r="34" spans="1:15">
      <c r="A34" s="146" t="s">
        <v>2922</v>
      </c>
      <c r="B34" s="146" t="s">
        <v>2923</v>
      </c>
      <c r="C34" s="146" t="s">
        <v>2924</v>
      </c>
      <c r="D34" s="146" t="s">
        <v>2925</v>
      </c>
      <c r="E34" s="146" t="s">
        <v>2926</v>
      </c>
      <c r="F34" s="146" t="s">
        <v>2927</v>
      </c>
      <c r="G34" s="146" t="s">
        <v>2928</v>
      </c>
      <c r="H34" s="146" t="s">
        <v>2929</v>
      </c>
      <c r="I34" t="s">
        <v>2930</v>
      </c>
      <c r="J34" s="146" t="s">
        <v>2931</v>
      </c>
      <c r="K34" s="146" t="s">
        <v>2932</v>
      </c>
      <c r="L34" t="s">
        <v>2933</v>
      </c>
      <c r="M34" t="s">
        <v>2934</v>
      </c>
      <c r="N34" s="146" t="s">
        <v>2935</v>
      </c>
      <c r="O34" s="146" t="s">
        <v>2922</v>
      </c>
    </row>
    <row r="35" spans="1:15">
      <c r="A35" s="146" t="s">
        <v>2936</v>
      </c>
      <c r="B35" s="146" t="s">
        <v>2937</v>
      </c>
      <c r="C35" s="146" t="s">
        <v>2938</v>
      </c>
      <c r="D35" s="146" t="s">
        <v>2939</v>
      </c>
      <c r="E35" s="146" t="s">
        <v>2940</v>
      </c>
      <c r="F35" s="146" t="s">
        <v>2941</v>
      </c>
      <c r="G35" s="146" t="s">
        <v>2942</v>
      </c>
      <c r="H35" s="146" t="s">
        <v>2943</v>
      </c>
      <c r="I35" t="s">
        <v>2944</v>
      </c>
      <c r="J35" s="146" t="s">
        <v>2945</v>
      </c>
      <c r="K35" s="146" t="s">
        <v>2946</v>
      </c>
      <c r="L35" t="s">
        <v>2946</v>
      </c>
      <c r="M35" t="s">
        <v>2947</v>
      </c>
      <c r="N35" s="146" t="s">
        <v>2948</v>
      </c>
      <c r="O35" s="146" t="s">
        <v>2936</v>
      </c>
    </row>
    <row r="36" spans="1:15">
      <c r="A36" s="146" t="s">
        <v>2949</v>
      </c>
      <c r="B36" s="146" t="s">
        <v>2950</v>
      </c>
      <c r="C36" s="146" t="s">
        <v>2951</v>
      </c>
      <c r="D36" s="146" t="s">
        <v>2952</v>
      </c>
      <c r="E36" s="146" t="s">
        <v>2953</v>
      </c>
      <c r="F36" s="146" t="s">
        <v>2954</v>
      </c>
      <c r="G36" s="146" t="s">
        <v>2955</v>
      </c>
      <c r="H36" s="146" t="s">
        <v>2956</v>
      </c>
      <c r="I36" t="s">
        <v>2957</v>
      </c>
      <c r="J36" s="146" t="s">
        <v>2958</v>
      </c>
      <c r="K36" s="146" t="s">
        <v>2959</v>
      </c>
      <c r="L36" t="s">
        <v>2960</v>
      </c>
      <c r="M36" t="s">
        <v>2960</v>
      </c>
      <c r="N36" s="146" t="s">
        <v>2961</v>
      </c>
      <c r="O36" s="146" t="s">
        <v>2949</v>
      </c>
    </row>
    <row r="37" spans="1:15">
      <c r="A37" s="146" t="s">
        <v>2962</v>
      </c>
      <c r="B37" s="146" t="s">
        <v>2963</v>
      </c>
      <c r="C37" s="146" t="s">
        <v>2964</v>
      </c>
      <c r="D37" s="146" t="s">
        <v>2965</v>
      </c>
      <c r="E37" s="146" t="s">
        <v>2966</v>
      </c>
      <c r="F37" s="146" t="s">
        <v>2967</v>
      </c>
      <c r="G37" s="146" t="s">
        <v>2968</v>
      </c>
      <c r="H37" s="146" t="s">
        <v>2969</v>
      </c>
      <c r="I37" t="s">
        <v>2970</v>
      </c>
      <c r="J37" s="146" t="s">
        <v>2971</v>
      </c>
      <c r="K37" s="146" t="s">
        <v>2972</v>
      </c>
      <c r="L37" t="s">
        <v>2973</v>
      </c>
      <c r="M37" t="s">
        <v>2974</v>
      </c>
      <c r="N37" s="146" t="s">
        <v>2975</v>
      </c>
      <c r="O37" s="146" t="s">
        <v>2962</v>
      </c>
    </row>
    <row r="38" spans="1:15">
      <c r="A38" s="146" t="s">
        <v>2976</v>
      </c>
      <c r="B38" s="146" t="s">
        <v>2977</v>
      </c>
      <c r="C38" s="146" t="s">
        <v>2978</v>
      </c>
      <c r="D38" s="146" t="s">
        <v>2979</v>
      </c>
      <c r="E38" s="146" t="s">
        <v>2821</v>
      </c>
      <c r="F38" s="146" t="s">
        <v>2980</v>
      </c>
      <c r="G38" s="146" t="s">
        <v>2823</v>
      </c>
      <c r="H38" s="146" t="s">
        <v>2981</v>
      </c>
      <c r="I38" t="s">
        <v>2982</v>
      </c>
      <c r="J38" s="146" t="s">
        <v>2826</v>
      </c>
      <c r="K38" s="146" t="s">
        <v>2983</v>
      </c>
      <c r="L38" t="s">
        <v>2984</v>
      </c>
      <c r="M38" t="s">
        <v>2985</v>
      </c>
      <c r="N38" s="146" t="s">
        <v>2986</v>
      </c>
      <c r="O38" s="146" t="s">
        <v>2976</v>
      </c>
    </row>
    <row r="39" spans="1:15">
      <c r="A39" s="146" t="s">
        <v>2987</v>
      </c>
      <c r="B39" s="146" t="s">
        <v>2988</v>
      </c>
      <c r="C39" s="146" t="s">
        <v>2989</v>
      </c>
      <c r="D39" s="146" t="s">
        <v>2990</v>
      </c>
      <c r="E39" s="146" t="s">
        <v>2991</v>
      </c>
      <c r="F39" s="146" t="s">
        <v>2992</v>
      </c>
      <c r="G39" s="146" t="s">
        <v>2785</v>
      </c>
      <c r="H39" s="146" t="s">
        <v>2993</v>
      </c>
      <c r="I39" t="s">
        <v>2994</v>
      </c>
      <c r="J39" s="146" t="s">
        <v>2788</v>
      </c>
      <c r="K39" s="146" t="s">
        <v>2995</v>
      </c>
      <c r="L39" t="s">
        <v>2996</v>
      </c>
      <c r="M39" t="s">
        <v>2997</v>
      </c>
      <c r="N39" s="146" t="s">
        <v>2998</v>
      </c>
      <c r="O39" s="146" t="s">
        <v>2987</v>
      </c>
    </row>
    <row r="40" spans="1:15">
      <c r="A40" s="146" t="s">
        <v>2999</v>
      </c>
      <c r="B40" s="146" t="s">
        <v>3000</v>
      </c>
      <c r="C40" s="146" t="s">
        <v>3001</v>
      </c>
      <c r="D40" s="146" t="s">
        <v>3002</v>
      </c>
      <c r="E40" s="146" t="s">
        <v>3003</v>
      </c>
      <c r="F40" s="146" t="s">
        <v>3000</v>
      </c>
      <c r="G40" s="146" t="s">
        <v>3004</v>
      </c>
      <c r="H40" s="146" t="s">
        <v>3003</v>
      </c>
      <c r="I40" t="s">
        <v>3005</v>
      </c>
      <c r="J40" s="146" t="s">
        <v>3006</v>
      </c>
      <c r="K40" s="146" t="s">
        <v>3007</v>
      </c>
      <c r="L40" t="s">
        <v>3008</v>
      </c>
      <c r="M40" t="s">
        <v>3007</v>
      </c>
      <c r="N40" s="146" t="s">
        <v>3009</v>
      </c>
      <c r="O40" s="146" t="s">
        <v>2999</v>
      </c>
    </row>
    <row r="41" spans="1:15">
      <c r="A41" s="146" t="s">
        <v>3010</v>
      </c>
      <c r="B41" s="146" t="s">
        <v>3011</v>
      </c>
      <c r="C41" s="146" t="s">
        <v>3012</v>
      </c>
      <c r="D41" s="146" t="s">
        <v>3013</v>
      </c>
      <c r="E41" s="146" t="s">
        <v>3014</v>
      </c>
      <c r="F41" s="146" t="s">
        <v>3015</v>
      </c>
      <c r="G41" s="146" t="s">
        <v>3016</v>
      </c>
      <c r="H41" s="146" t="s">
        <v>3014</v>
      </c>
      <c r="I41" t="s">
        <v>3017</v>
      </c>
      <c r="J41" s="146" t="s">
        <v>3018</v>
      </c>
      <c r="K41" s="146" t="s">
        <v>3019</v>
      </c>
      <c r="L41" t="s">
        <v>3020</v>
      </c>
      <c r="M41" t="s">
        <v>3021</v>
      </c>
      <c r="N41" s="146" t="s">
        <v>3022</v>
      </c>
      <c r="O41" s="146" t="s">
        <v>3010</v>
      </c>
    </row>
    <row r="42" spans="1:15">
      <c r="A42" s="146" t="s">
        <v>3023</v>
      </c>
      <c r="B42" s="146" t="s">
        <v>3024</v>
      </c>
      <c r="C42" s="146" t="s">
        <v>3025</v>
      </c>
      <c r="D42" s="146" t="s">
        <v>3026</v>
      </c>
      <c r="E42" s="146" t="s">
        <v>3027</v>
      </c>
      <c r="F42" s="146" t="s">
        <v>3028</v>
      </c>
      <c r="G42" s="146" t="s">
        <v>3029</v>
      </c>
      <c r="H42" s="146" t="s">
        <v>3030</v>
      </c>
      <c r="I42" t="s">
        <v>3031</v>
      </c>
      <c r="J42" s="146" t="s">
        <v>3032</v>
      </c>
      <c r="K42" s="146" t="s">
        <v>3033</v>
      </c>
      <c r="L42" t="s">
        <v>3034</v>
      </c>
      <c r="M42" t="s">
        <v>3034</v>
      </c>
      <c r="N42" s="146" t="s">
        <v>3035</v>
      </c>
      <c r="O42" s="146" t="s">
        <v>3023</v>
      </c>
    </row>
    <row r="43" spans="1:15">
      <c r="A43" s="146" t="s">
        <v>27</v>
      </c>
      <c r="B43" s="146" t="s">
        <v>2793</v>
      </c>
      <c r="C43" s="146" t="s">
        <v>2794</v>
      </c>
      <c r="D43" s="146" t="s">
        <v>2795</v>
      </c>
      <c r="E43" s="146" t="s">
        <v>3036</v>
      </c>
      <c r="F43" s="146" t="s">
        <v>2793</v>
      </c>
      <c r="G43" s="146" t="s">
        <v>2797</v>
      </c>
      <c r="H43" s="146" t="s">
        <v>3037</v>
      </c>
      <c r="I43" t="s">
        <v>2799</v>
      </c>
      <c r="J43" s="146" t="s">
        <v>3038</v>
      </c>
      <c r="K43" s="146" t="s">
        <v>2801</v>
      </c>
      <c r="L43" t="s">
        <v>2802</v>
      </c>
      <c r="M43" t="s">
        <v>2803</v>
      </c>
      <c r="N43" s="146" t="s">
        <v>2804</v>
      </c>
      <c r="O43" s="146" t="s">
        <v>27</v>
      </c>
    </row>
    <row r="44" spans="1:15">
      <c r="A44" s="146" t="s">
        <v>3039</v>
      </c>
      <c r="B44" s="146" t="s">
        <v>3039</v>
      </c>
      <c r="C44" s="146" t="s">
        <v>3039</v>
      </c>
      <c r="D44" s="146" t="s">
        <v>3040</v>
      </c>
      <c r="E44" s="146" t="s">
        <v>3041</v>
      </c>
      <c r="F44" s="146" t="s">
        <v>3042</v>
      </c>
      <c r="G44" s="146" t="s">
        <v>3043</v>
      </c>
      <c r="H44" s="146" t="s">
        <v>3044</v>
      </c>
      <c r="I44" t="s">
        <v>3045</v>
      </c>
      <c r="J44" s="146" t="s">
        <v>3046</v>
      </c>
      <c r="K44" s="146" t="s">
        <v>3047</v>
      </c>
      <c r="L44" t="s">
        <v>3048</v>
      </c>
      <c r="M44" t="s">
        <v>3047</v>
      </c>
      <c r="N44" s="146" t="s">
        <v>3049</v>
      </c>
      <c r="O44" s="146" t="s">
        <v>3039</v>
      </c>
    </row>
    <row r="45" spans="1:15">
      <c r="A45" s="146" t="s">
        <v>3050</v>
      </c>
      <c r="B45" s="146" t="s">
        <v>3051</v>
      </c>
      <c r="C45" s="146" t="s">
        <v>3052</v>
      </c>
      <c r="D45" s="146" t="s">
        <v>3053</v>
      </c>
      <c r="E45" s="146" t="s">
        <v>3054</v>
      </c>
      <c r="F45" s="146" t="s">
        <v>3055</v>
      </c>
      <c r="G45" s="146" t="s">
        <v>3056</v>
      </c>
      <c r="H45" s="146" t="s">
        <v>3057</v>
      </c>
      <c r="I45" t="s">
        <v>3058</v>
      </c>
      <c r="J45" s="146" t="s">
        <v>3059</v>
      </c>
      <c r="K45" s="146" t="s">
        <v>3060</v>
      </c>
      <c r="L45" t="s">
        <v>3061</v>
      </c>
      <c r="M45" t="s">
        <v>3062</v>
      </c>
      <c r="N45" s="146" t="s">
        <v>3063</v>
      </c>
      <c r="O45" s="146" t="s">
        <v>3050</v>
      </c>
    </row>
    <row r="46" spans="1:15">
      <c r="A46" s="146" t="s">
        <v>3064</v>
      </c>
      <c r="B46" s="146" t="s">
        <v>3064</v>
      </c>
      <c r="C46" s="146" t="s">
        <v>3064</v>
      </c>
      <c r="D46" s="146" t="s">
        <v>3064</v>
      </c>
      <c r="E46" s="146" t="s">
        <v>3064</v>
      </c>
      <c r="F46" s="146" t="s">
        <v>3064</v>
      </c>
      <c r="G46" s="146" t="s">
        <v>3064</v>
      </c>
      <c r="H46" s="146" t="s">
        <v>3064</v>
      </c>
      <c r="I46" t="s">
        <v>3065</v>
      </c>
      <c r="J46" s="146" t="s">
        <v>3064</v>
      </c>
      <c r="K46" s="146" t="s">
        <v>3065</v>
      </c>
      <c r="L46" t="s">
        <v>3065</v>
      </c>
      <c r="M46" t="s">
        <v>3065</v>
      </c>
      <c r="N46" s="146" t="s">
        <v>3064</v>
      </c>
      <c r="O46" s="146" t="s">
        <v>3064</v>
      </c>
    </row>
    <row r="47" spans="1:15" ht="16.2">
      <c r="A47" s="146" t="s">
        <v>441</v>
      </c>
      <c r="B47" s="146" t="s">
        <v>3066</v>
      </c>
      <c r="C47" s="146" t="s">
        <v>3067</v>
      </c>
      <c r="D47" s="146" t="s">
        <v>3066</v>
      </c>
      <c r="E47" s="146" t="s">
        <v>3068</v>
      </c>
      <c r="F47" s="146" t="s">
        <v>3066</v>
      </c>
      <c r="G47" s="146" t="s">
        <v>3069</v>
      </c>
      <c r="H47" s="146" t="s">
        <v>3068</v>
      </c>
      <c r="I47" t="s">
        <v>3070</v>
      </c>
      <c r="J47" s="146" t="s">
        <v>3071</v>
      </c>
      <c r="K47" s="146" t="s">
        <v>3072</v>
      </c>
      <c r="L47" t="s">
        <v>3073</v>
      </c>
      <c r="M47" t="s">
        <v>3074</v>
      </c>
      <c r="N47" s="146" t="s">
        <v>3075</v>
      </c>
      <c r="O47" s="146" t="s">
        <v>441</v>
      </c>
    </row>
    <row r="48" spans="1:15">
      <c r="A48" s="146" t="s">
        <v>28</v>
      </c>
      <c r="B48" s="146" t="s">
        <v>2805</v>
      </c>
      <c r="C48" s="146" t="s">
        <v>2805</v>
      </c>
      <c r="D48" s="146" t="s">
        <v>3076</v>
      </c>
      <c r="E48" s="146" t="s">
        <v>3077</v>
      </c>
      <c r="F48" s="146" t="s">
        <v>3078</v>
      </c>
      <c r="G48" s="146" t="s">
        <v>2809</v>
      </c>
      <c r="H48" s="146" t="s">
        <v>3077</v>
      </c>
      <c r="I48" t="s">
        <v>2811</v>
      </c>
      <c r="J48" s="146" t="s">
        <v>3079</v>
      </c>
      <c r="K48" s="146" t="s">
        <v>2813</v>
      </c>
      <c r="L48" t="s">
        <v>2814</v>
      </c>
      <c r="M48" t="s">
        <v>2815</v>
      </c>
      <c r="N48" s="146" t="s">
        <v>2816</v>
      </c>
      <c r="O48" s="146" t="s">
        <v>28</v>
      </c>
    </row>
    <row r="49" spans="1:15">
      <c r="A49" s="146" t="s">
        <v>3080</v>
      </c>
      <c r="B49" s="146" t="s">
        <v>3081</v>
      </c>
      <c r="C49" s="146" t="s">
        <v>3082</v>
      </c>
      <c r="D49" s="146" t="s">
        <v>3083</v>
      </c>
      <c r="E49" s="146" t="s">
        <v>3084</v>
      </c>
      <c r="F49" s="146" t="s">
        <v>3085</v>
      </c>
      <c r="G49" s="146" t="s">
        <v>3086</v>
      </c>
      <c r="H49" s="146" t="s">
        <v>3087</v>
      </c>
      <c r="I49" t="s">
        <v>3088</v>
      </c>
      <c r="J49" s="146" t="s">
        <v>3089</v>
      </c>
      <c r="K49" s="146" t="s">
        <v>3090</v>
      </c>
      <c r="L49" t="s">
        <v>3091</v>
      </c>
      <c r="M49" t="s">
        <v>3092</v>
      </c>
      <c r="N49" s="146" t="s">
        <v>3093</v>
      </c>
      <c r="O49" s="146" t="s">
        <v>3080</v>
      </c>
    </row>
    <row r="50" spans="1:15">
      <c r="A50" s="146" t="s">
        <v>3094</v>
      </c>
      <c r="B50" s="146" t="s">
        <v>3094</v>
      </c>
      <c r="C50" s="146" t="s">
        <v>3094</v>
      </c>
      <c r="D50" s="146" t="s">
        <v>3095</v>
      </c>
      <c r="E50" s="146" t="s">
        <v>3094</v>
      </c>
      <c r="F50" s="146" t="s">
        <v>3094</v>
      </c>
      <c r="G50" s="146" t="s">
        <v>3094</v>
      </c>
      <c r="H50" s="146" t="s">
        <v>3094</v>
      </c>
      <c r="I50" t="s">
        <v>3096</v>
      </c>
      <c r="J50" s="146" t="s">
        <v>3094</v>
      </c>
      <c r="K50" s="146" t="s">
        <v>3096</v>
      </c>
      <c r="L50" t="s">
        <v>3096</v>
      </c>
      <c r="M50" t="s">
        <v>3096</v>
      </c>
      <c r="N50" s="146" t="s">
        <v>3094</v>
      </c>
      <c r="O50" s="146" t="s">
        <v>3094</v>
      </c>
    </row>
    <row r="51" spans="1:15">
      <c r="A51" s="146" t="s">
        <v>3097</v>
      </c>
      <c r="B51" s="146" t="s">
        <v>3098</v>
      </c>
      <c r="C51" s="146" t="s">
        <v>3099</v>
      </c>
      <c r="D51" s="146" t="s">
        <v>3100</v>
      </c>
      <c r="E51" s="146" t="s">
        <v>3101</v>
      </c>
      <c r="F51" s="146" t="s">
        <v>3085</v>
      </c>
      <c r="G51" s="146" t="s">
        <v>3102</v>
      </c>
      <c r="H51" s="146" t="s">
        <v>3103</v>
      </c>
      <c r="I51" t="s">
        <v>3104</v>
      </c>
      <c r="J51" s="146" t="s">
        <v>3105</v>
      </c>
      <c r="K51" s="146" t="s">
        <v>3106</v>
      </c>
      <c r="L51" t="s">
        <v>3107</v>
      </c>
      <c r="M51" t="s">
        <v>3108</v>
      </c>
      <c r="N51" s="146" t="s">
        <v>3109</v>
      </c>
      <c r="O51" s="146" t="s">
        <v>3097</v>
      </c>
    </row>
    <row r="52" spans="1:15">
      <c r="A52" s="146" t="s">
        <v>3110</v>
      </c>
      <c r="B52" s="146" t="s">
        <v>3111</v>
      </c>
      <c r="C52" s="146" t="s">
        <v>3111</v>
      </c>
      <c r="D52" s="146" t="s">
        <v>3112</v>
      </c>
      <c r="E52" s="146" t="s">
        <v>3113</v>
      </c>
      <c r="F52" s="146" t="s">
        <v>3085</v>
      </c>
      <c r="G52" s="146" t="s">
        <v>3004</v>
      </c>
      <c r="H52" s="146" t="s">
        <v>3113</v>
      </c>
      <c r="I52" t="s">
        <v>3114</v>
      </c>
      <c r="J52" s="146" t="s">
        <v>3115</v>
      </c>
      <c r="K52" s="146" t="s">
        <v>3116</v>
      </c>
      <c r="L52" t="s">
        <v>3117</v>
      </c>
      <c r="M52" t="s">
        <v>3118</v>
      </c>
      <c r="N52" s="146" t="s">
        <v>3119</v>
      </c>
      <c r="O52" s="146" t="s">
        <v>3110</v>
      </c>
    </row>
    <row r="53" spans="1:15">
      <c r="A53" s="146" t="s">
        <v>3120</v>
      </c>
      <c r="B53" s="146" t="s">
        <v>3121</v>
      </c>
      <c r="C53" s="146" t="s">
        <v>3122</v>
      </c>
      <c r="D53" s="146" t="s">
        <v>3123</v>
      </c>
      <c r="E53" s="146" t="s">
        <v>3124</v>
      </c>
      <c r="F53" s="146" t="s">
        <v>3125</v>
      </c>
      <c r="G53" s="146" t="s">
        <v>3126</v>
      </c>
      <c r="H53" s="146" t="s">
        <v>3127</v>
      </c>
      <c r="I53" t="s">
        <v>3128</v>
      </c>
      <c r="J53" s="146" t="s">
        <v>3129</v>
      </c>
      <c r="K53" s="146" t="s">
        <v>3130</v>
      </c>
      <c r="L53" t="s">
        <v>3131</v>
      </c>
      <c r="M53" t="s">
        <v>3132</v>
      </c>
      <c r="N53" s="146" t="s">
        <v>3133</v>
      </c>
      <c r="O53" s="146" t="s">
        <v>3120</v>
      </c>
    </row>
    <row r="54" spans="1:15">
      <c r="A54" s="146" t="s">
        <v>3134</v>
      </c>
      <c r="B54" s="146" t="s">
        <v>3135</v>
      </c>
      <c r="C54" s="146" t="s">
        <v>3136</v>
      </c>
      <c r="D54" s="146" t="s">
        <v>3137</v>
      </c>
      <c r="E54" s="146" t="s">
        <v>3138</v>
      </c>
      <c r="F54" s="146" t="s">
        <v>3139</v>
      </c>
      <c r="G54" s="146" t="s">
        <v>3140</v>
      </c>
      <c r="H54" s="146" t="s">
        <v>3141</v>
      </c>
      <c r="I54" t="s">
        <v>3142</v>
      </c>
      <c r="J54" s="146" t="s">
        <v>3143</v>
      </c>
      <c r="K54" s="146" t="s">
        <v>3144</v>
      </c>
      <c r="L54" t="s">
        <v>3145</v>
      </c>
      <c r="M54" t="s">
        <v>3145</v>
      </c>
      <c r="N54" s="146" t="s">
        <v>3146</v>
      </c>
      <c r="O54" s="146" t="s">
        <v>3134</v>
      </c>
    </row>
    <row r="55" spans="1:15">
      <c r="A55" s="146" t="s">
        <v>3147</v>
      </c>
      <c r="B55" s="146" t="s">
        <v>3148</v>
      </c>
      <c r="C55" s="146" t="s">
        <v>3149</v>
      </c>
      <c r="D55" s="146" t="s">
        <v>3150</v>
      </c>
      <c r="E55" s="146" t="s">
        <v>3151</v>
      </c>
      <c r="F55" s="146" t="s">
        <v>3152</v>
      </c>
      <c r="G55" s="146" t="s">
        <v>3153</v>
      </c>
      <c r="H55" s="146" t="s">
        <v>3154</v>
      </c>
      <c r="I55" t="s">
        <v>3155</v>
      </c>
      <c r="J55" s="146" t="s">
        <v>3156</v>
      </c>
      <c r="K55" s="146" t="s">
        <v>3157</v>
      </c>
      <c r="L55" t="s">
        <v>3158</v>
      </c>
      <c r="M55" t="s">
        <v>3159</v>
      </c>
      <c r="N55" s="146" t="s">
        <v>3160</v>
      </c>
      <c r="O55" s="146" t="s">
        <v>3147</v>
      </c>
    </row>
    <row r="56" spans="1:15">
      <c r="A56" s="146" t="s">
        <v>3161</v>
      </c>
      <c r="B56" s="146" t="s">
        <v>3162</v>
      </c>
      <c r="C56" s="146" t="s">
        <v>3163</v>
      </c>
      <c r="D56" s="146" t="s">
        <v>3164</v>
      </c>
      <c r="E56" s="146" t="s">
        <v>3165</v>
      </c>
      <c r="F56" s="146" t="s">
        <v>3166</v>
      </c>
      <c r="G56" s="146" t="s">
        <v>3167</v>
      </c>
      <c r="H56" s="146" t="s">
        <v>3168</v>
      </c>
      <c r="I56" s="169" t="s">
        <v>3169</v>
      </c>
      <c r="J56" s="146" t="s">
        <v>3170</v>
      </c>
      <c r="K56" s="176" t="s">
        <v>3171</v>
      </c>
      <c r="L56" s="169" t="s">
        <v>3172</v>
      </c>
      <c r="M56" s="169" t="s">
        <v>3173</v>
      </c>
      <c r="N56" s="146" t="s">
        <v>3174</v>
      </c>
      <c r="O56" s="146" t="s">
        <v>3161</v>
      </c>
    </row>
    <row r="57" spans="1:15">
      <c r="A57" s="146" t="s">
        <v>3175</v>
      </c>
      <c r="B57" s="146" t="s">
        <v>3176</v>
      </c>
      <c r="C57" s="146" t="s">
        <v>3177</v>
      </c>
      <c r="D57" s="146" t="s">
        <v>3178</v>
      </c>
      <c r="E57" s="146" t="s">
        <v>3179</v>
      </c>
      <c r="F57" s="146" t="s">
        <v>3180</v>
      </c>
      <c r="G57" s="146" t="s">
        <v>3181</v>
      </c>
      <c r="H57" s="146" t="s">
        <v>3182</v>
      </c>
      <c r="I57" t="s">
        <v>3183</v>
      </c>
      <c r="J57" s="146" t="s">
        <v>3184</v>
      </c>
      <c r="K57" s="146" t="s">
        <v>3185</v>
      </c>
      <c r="L57" t="s">
        <v>3186</v>
      </c>
      <c r="M57" t="s">
        <v>3187</v>
      </c>
      <c r="N57" s="146" t="s">
        <v>3188</v>
      </c>
      <c r="O57" s="146" t="s">
        <v>3175</v>
      </c>
    </row>
    <row r="58" spans="1:15">
      <c r="A58" s="146" t="s">
        <v>3189</v>
      </c>
      <c r="B58" s="146" t="s">
        <v>3190</v>
      </c>
      <c r="C58" s="146" t="s">
        <v>3191</v>
      </c>
      <c r="D58" s="146" t="s">
        <v>3192</v>
      </c>
      <c r="E58" s="146" t="s">
        <v>3193</v>
      </c>
      <c r="F58" s="146" t="s">
        <v>3194</v>
      </c>
      <c r="G58" s="146" t="s">
        <v>3195</v>
      </c>
      <c r="H58" s="146" t="s">
        <v>3196</v>
      </c>
      <c r="I58" t="s">
        <v>3197</v>
      </c>
      <c r="J58" s="146" t="s">
        <v>3198</v>
      </c>
      <c r="K58" s="146" t="s">
        <v>3199</v>
      </c>
      <c r="L58" t="s">
        <v>3200</v>
      </c>
      <c r="M58" t="s">
        <v>3201</v>
      </c>
      <c r="N58" s="146" t="s">
        <v>3202</v>
      </c>
      <c r="O58" s="146" t="s">
        <v>3189</v>
      </c>
    </row>
    <row r="59" spans="1:15">
      <c r="A59" s="146" t="s">
        <v>3203</v>
      </c>
      <c r="B59" s="146" t="s">
        <v>3204</v>
      </c>
      <c r="C59" s="146" t="s">
        <v>3205</v>
      </c>
      <c r="D59" s="146" t="s">
        <v>3206</v>
      </c>
      <c r="E59" s="146" t="s">
        <v>3207</v>
      </c>
      <c r="F59" s="146" t="s">
        <v>3208</v>
      </c>
      <c r="G59" s="146" t="s">
        <v>3209</v>
      </c>
      <c r="H59" s="146" t="s">
        <v>3210</v>
      </c>
      <c r="I59" t="s">
        <v>3211</v>
      </c>
      <c r="J59" s="146" t="s">
        <v>3212</v>
      </c>
      <c r="K59" s="146" t="s">
        <v>3213</v>
      </c>
      <c r="L59" t="s">
        <v>3214</v>
      </c>
      <c r="M59" t="s">
        <v>3215</v>
      </c>
      <c r="N59" s="146" t="s">
        <v>3216</v>
      </c>
      <c r="O59" s="146" t="s">
        <v>3203</v>
      </c>
    </row>
    <row r="60" spans="1:15" ht="28.8">
      <c r="A60" s="148" t="s">
        <v>3217</v>
      </c>
      <c r="B60" s="146" t="s">
        <v>3218</v>
      </c>
      <c r="C60" s="146" t="s">
        <v>3219</v>
      </c>
      <c r="D60" s="148" t="s">
        <v>3220</v>
      </c>
      <c r="E60" s="146" t="s">
        <v>3221</v>
      </c>
      <c r="F60" s="146" t="s">
        <v>3222</v>
      </c>
      <c r="G60" s="148" t="s">
        <v>3223</v>
      </c>
      <c r="H60" s="146" t="s">
        <v>3224</v>
      </c>
      <c r="I60" t="s">
        <v>3225</v>
      </c>
      <c r="J60" s="146" t="s">
        <v>3226</v>
      </c>
      <c r="K60" s="146" t="s">
        <v>3227</v>
      </c>
      <c r="L60" t="s">
        <v>3228</v>
      </c>
      <c r="M60" t="s">
        <v>3229</v>
      </c>
      <c r="N60" s="146" t="s">
        <v>3230</v>
      </c>
      <c r="O60" s="148" t="s">
        <v>3217</v>
      </c>
    </row>
    <row r="61" spans="1:15">
      <c r="A61" s="149" t="s">
        <v>3231</v>
      </c>
      <c r="B61" s="146" t="s">
        <v>3232</v>
      </c>
      <c r="C61" s="146" t="s">
        <v>3233</v>
      </c>
      <c r="D61" s="146" t="s">
        <v>3234</v>
      </c>
      <c r="E61" s="146" t="s">
        <v>3235</v>
      </c>
      <c r="F61" s="146" t="s">
        <v>3236</v>
      </c>
      <c r="G61" s="146" t="s">
        <v>3237</v>
      </c>
      <c r="H61" s="146" t="s">
        <v>3238</v>
      </c>
      <c r="I61" s="173" t="s">
        <v>3239</v>
      </c>
      <c r="J61" s="146" t="s">
        <v>3240</v>
      </c>
      <c r="K61" s="149" t="s">
        <v>3241</v>
      </c>
      <c r="L61" s="173" t="s">
        <v>3242</v>
      </c>
      <c r="M61" s="173" t="s">
        <v>3243</v>
      </c>
      <c r="N61" s="149" t="s">
        <v>3244</v>
      </c>
      <c r="O61" s="149" t="s">
        <v>3231</v>
      </c>
    </row>
    <row r="62" spans="1:15">
      <c r="A62" s="149" t="s">
        <v>3245</v>
      </c>
      <c r="B62" s="150" t="s">
        <v>3246</v>
      </c>
      <c r="C62" s="150" t="s">
        <v>3247</v>
      </c>
      <c r="D62" s="149" t="s">
        <v>3248</v>
      </c>
      <c r="E62" s="149" t="s">
        <v>3249</v>
      </c>
      <c r="F62" s="146" t="s">
        <v>3250</v>
      </c>
      <c r="G62" s="150" t="s">
        <v>3251</v>
      </c>
      <c r="H62" s="146" t="s">
        <v>3252</v>
      </c>
      <c r="I62" s="173" t="s">
        <v>3253</v>
      </c>
      <c r="J62" s="146" t="s">
        <v>3254</v>
      </c>
      <c r="K62" s="149" t="s">
        <v>3255</v>
      </c>
      <c r="L62" s="173" t="s">
        <v>3256</v>
      </c>
      <c r="M62" s="173" t="s">
        <v>3257</v>
      </c>
      <c r="N62" s="149" t="s">
        <v>3258</v>
      </c>
      <c r="O62" s="149" t="s">
        <v>3245</v>
      </c>
    </row>
    <row r="63" spans="1:15">
      <c r="A63" s="149" t="s">
        <v>3259</v>
      </c>
      <c r="B63" s="150" t="s">
        <v>3259</v>
      </c>
      <c r="C63" s="150" t="s">
        <v>3260</v>
      </c>
      <c r="D63" s="149" t="s">
        <v>3261</v>
      </c>
      <c r="E63" s="149" t="s">
        <v>3262</v>
      </c>
      <c r="F63" s="146" t="s">
        <v>3263</v>
      </c>
      <c r="G63" s="150" t="s">
        <v>3264</v>
      </c>
      <c r="H63" s="146" t="s">
        <v>3259</v>
      </c>
      <c r="I63" s="173" t="s">
        <v>3265</v>
      </c>
      <c r="J63" s="146" t="s">
        <v>3266</v>
      </c>
      <c r="K63" s="149" t="s">
        <v>3265</v>
      </c>
      <c r="L63" s="173" t="s">
        <v>3265</v>
      </c>
      <c r="M63" s="173" t="s">
        <v>3265</v>
      </c>
      <c r="N63" s="149" t="s">
        <v>3267</v>
      </c>
      <c r="O63" s="149" t="s">
        <v>3259</v>
      </c>
    </row>
    <row r="64" spans="1:15">
      <c r="A64" s="149" t="s">
        <v>3268</v>
      </c>
      <c r="B64" s="150" t="s">
        <v>3269</v>
      </c>
      <c r="C64" s="150" t="s">
        <v>3270</v>
      </c>
      <c r="D64" s="149" t="s">
        <v>3271</v>
      </c>
      <c r="E64" s="149" t="s">
        <v>3272</v>
      </c>
      <c r="F64" s="146" t="s">
        <v>3273</v>
      </c>
      <c r="G64" s="150" t="s">
        <v>3274</v>
      </c>
      <c r="H64" s="146" t="s">
        <v>3272</v>
      </c>
      <c r="I64" s="173" t="s">
        <v>3275</v>
      </c>
      <c r="J64" s="146" t="s">
        <v>3276</v>
      </c>
      <c r="K64" s="149" t="s">
        <v>3277</v>
      </c>
      <c r="L64" s="173" t="s">
        <v>3278</v>
      </c>
      <c r="M64" s="173" t="s">
        <v>3278</v>
      </c>
      <c r="N64" s="149" t="s">
        <v>3279</v>
      </c>
      <c r="O64" s="149" t="s">
        <v>3268</v>
      </c>
    </row>
    <row r="65" spans="1:15">
      <c r="A65" s="149" t="s">
        <v>3280</v>
      </c>
      <c r="B65" s="150" t="s">
        <v>3280</v>
      </c>
      <c r="C65" s="150" t="s">
        <v>3281</v>
      </c>
      <c r="D65" s="149" t="s">
        <v>3282</v>
      </c>
      <c r="E65" s="149" t="s">
        <v>3283</v>
      </c>
      <c r="F65" s="146" t="s">
        <v>3284</v>
      </c>
      <c r="G65" s="150" t="s">
        <v>3285</v>
      </c>
      <c r="H65" s="146" t="s">
        <v>3286</v>
      </c>
      <c r="I65" s="173" t="s">
        <v>3287</v>
      </c>
      <c r="J65" s="146" t="s">
        <v>3288</v>
      </c>
      <c r="K65" s="149" t="s">
        <v>3287</v>
      </c>
      <c r="L65" s="173" t="s">
        <v>3287</v>
      </c>
      <c r="M65" s="173" t="s">
        <v>3287</v>
      </c>
      <c r="N65" s="149" t="s">
        <v>3289</v>
      </c>
      <c r="O65" s="149" t="s">
        <v>3280</v>
      </c>
    </row>
    <row r="66" spans="1:15">
      <c r="A66" s="149" t="s">
        <v>3290</v>
      </c>
      <c r="B66" s="150" t="s">
        <v>3291</v>
      </c>
      <c r="C66" s="150" t="s">
        <v>3292</v>
      </c>
      <c r="D66" s="149" t="s">
        <v>3293</v>
      </c>
      <c r="E66" s="149" t="s">
        <v>3294</v>
      </c>
      <c r="F66" s="146" t="s">
        <v>3295</v>
      </c>
      <c r="G66" s="150" t="s">
        <v>3296</v>
      </c>
      <c r="H66" s="146" t="s">
        <v>3297</v>
      </c>
      <c r="I66" s="173" t="s">
        <v>3298</v>
      </c>
      <c r="J66" s="146" t="s">
        <v>3299</v>
      </c>
      <c r="K66" s="149" t="s">
        <v>3300</v>
      </c>
      <c r="L66" s="173" t="s">
        <v>3301</v>
      </c>
      <c r="M66" s="173" t="s">
        <v>3302</v>
      </c>
      <c r="N66" s="149" t="s">
        <v>3303</v>
      </c>
      <c r="O66" s="149" t="s">
        <v>3290</v>
      </c>
    </row>
    <row r="67" spans="1:15">
      <c r="A67" s="149" t="s">
        <v>3304</v>
      </c>
      <c r="B67" s="150" t="s">
        <v>3305</v>
      </c>
      <c r="C67" s="150" t="s">
        <v>3306</v>
      </c>
      <c r="D67" s="149" t="s">
        <v>3307</v>
      </c>
      <c r="E67" s="149" t="s">
        <v>3308</v>
      </c>
      <c r="F67" s="146" t="s">
        <v>3309</v>
      </c>
      <c r="G67" s="150" t="s">
        <v>3310</v>
      </c>
      <c r="H67" s="146" t="s">
        <v>3311</v>
      </c>
      <c r="I67" s="173" t="s">
        <v>3312</v>
      </c>
      <c r="J67" s="146" t="s">
        <v>3313</v>
      </c>
      <c r="K67" s="149" t="s">
        <v>3314</v>
      </c>
      <c r="L67" s="173" t="s">
        <v>3315</v>
      </c>
      <c r="M67" s="173" t="s">
        <v>3316</v>
      </c>
      <c r="N67" s="149" t="s">
        <v>3317</v>
      </c>
      <c r="O67" s="149" t="s">
        <v>3304</v>
      </c>
    </row>
    <row r="68" spans="1:15">
      <c r="A68" s="149" t="s">
        <v>3318</v>
      </c>
      <c r="B68" s="150" t="s">
        <v>3319</v>
      </c>
      <c r="C68" s="150" t="s">
        <v>3320</v>
      </c>
      <c r="D68" s="149" t="s">
        <v>3321</v>
      </c>
      <c r="E68" s="149" t="s">
        <v>3322</v>
      </c>
      <c r="F68" s="146" t="s">
        <v>3323</v>
      </c>
      <c r="G68" s="150" t="s">
        <v>3324</v>
      </c>
      <c r="H68" s="146" t="s">
        <v>3325</v>
      </c>
      <c r="I68" s="173" t="s">
        <v>3326</v>
      </c>
      <c r="J68" s="146" t="s">
        <v>3327</v>
      </c>
      <c r="K68" s="149" t="s">
        <v>3328</v>
      </c>
      <c r="L68" s="173" t="s">
        <v>3329</v>
      </c>
      <c r="M68" s="173" t="s">
        <v>3330</v>
      </c>
      <c r="N68" s="149" t="s">
        <v>3331</v>
      </c>
      <c r="O68" s="149" t="s">
        <v>3318</v>
      </c>
    </row>
    <row r="69" spans="1:15">
      <c r="A69" s="149" t="s">
        <v>3332</v>
      </c>
      <c r="B69" s="150" t="s">
        <v>3333</v>
      </c>
      <c r="C69" s="150" t="s">
        <v>3334</v>
      </c>
      <c r="D69" s="149" t="s">
        <v>3335</v>
      </c>
      <c r="E69" s="149" t="s">
        <v>3336</v>
      </c>
      <c r="F69" s="146" t="s">
        <v>3337</v>
      </c>
      <c r="G69" s="149" t="s">
        <v>3338</v>
      </c>
      <c r="H69" s="146" t="s">
        <v>3339</v>
      </c>
      <c r="I69" s="173" t="s">
        <v>3340</v>
      </c>
      <c r="J69" s="149" t="s">
        <v>3341</v>
      </c>
      <c r="K69" s="149" t="s">
        <v>3342</v>
      </c>
      <c r="L69" s="173" t="s">
        <v>3343</v>
      </c>
      <c r="M69" s="173" t="s">
        <v>3344</v>
      </c>
      <c r="N69" s="149" t="s">
        <v>3345</v>
      </c>
      <c r="O69" s="149" t="s">
        <v>3332</v>
      </c>
    </row>
    <row r="70" spans="1:15">
      <c r="A70" s="149" t="s">
        <v>3346</v>
      </c>
      <c r="B70" s="150" t="s">
        <v>3347</v>
      </c>
      <c r="C70" s="150" t="s">
        <v>3348</v>
      </c>
      <c r="D70" s="149" t="s">
        <v>3349</v>
      </c>
      <c r="E70" s="149" t="s">
        <v>3350</v>
      </c>
      <c r="F70" s="146" t="s">
        <v>3351</v>
      </c>
      <c r="G70" s="149" t="s">
        <v>3352</v>
      </c>
      <c r="H70" s="146" t="s">
        <v>3353</v>
      </c>
      <c r="I70" s="173" t="s">
        <v>3354</v>
      </c>
      <c r="J70" s="149" t="s">
        <v>3355</v>
      </c>
      <c r="K70" s="149" t="s">
        <v>3356</v>
      </c>
      <c r="L70" s="173" t="s">
        <v>3357</v>
      </c>
      <c r="M70" s="173" t="s">
        <v>3358</v>
      </c>
      <c r="N70" s="149" t="s">
        <v>3359</v>
      </c>
      <c r="O70" s="149" t="s">
        <v>3346</v>
      </c>
    </row>
    <row r="71" spans="1:15">
      <c r="A71" s="149" t="s">
        <v>3360</v>
      </c>
      <c r="B71" s="150" t="s">
        <v>3361</v>
      </c>
      <c r="C71" s="150" t="s">
        <v>3362</v>
      </c>
      <c r="D71" s="149" t="s">
        <v>3363</v>
      </c>
      <c r="E71" s="149" t="s">
        <v>3364</v>
      </c>
      <c r="F71" s="146" t="s">
        <v>3365</v>
      </c>
      <c r="G71" s="149" t="s">
        <v>3366</v>
      </c>
      <c r="H71" s="146" t="s">
        <v>3367</v>
      </c>
      <c r="I71" s="173" t="s">
        <v>3368</v>
      </c>
      <c r="J71" s="149" t="s">
        <v>3369</v>
      </c>
      <c r="K71" s="149" t="s">
        <v>3370</v>
      </c>
      <c r="L71" s="173" t="s">
        <v>3371</v>
      </c>
      <c r="M71" s="173" t="s">
        <v>3372</v>
      </c>
      <c r="N71" s="149" t="s">
        <v>3373</v>
      </c>
      <c r="O71" s="149" t="s">
        <v>3360</v>
      </c>
    </row>
    <row r="72" spans="1:15">
      <c r="A72" s="149" t="s">
        <v>3374</v>
      </c>
      <c r="B72" s="150" t="s">
        <v>3375</v>
      </c>
      <c r="C72" s="150" t="s">
        <v>3376</v>
      </c>
      <c r="D72" s="149" t="s">
        <v>3377</v>
      </c>
      <c r="E72" s="149" t="s">
        <v>3378</v>
      </c>
      <c r="F72" s="146" t="s">
        <v>3379</v>
      </c>
      <c r="G72" s="149" t="s">
        <v>3380</v>
      </c>
      <c r="H72" s="146" t="s">
        <v>3381</v>
      </c>
      <c r="I72" s="173" t="s">
        <v>3382</v>
      </c>
      <c r="J72" s="149" t="s">
        <v>3383</v>
      </c>
      <c r="K72" s="149" t="s">
        <v>3384</v>
      </c>
      <c r="L72" s="173" t="s">
        <v>3385</v>
      </c>
      <c r="M72" s="173" t="s">
        <v>3386</v>
      </c>
      <c r="N72" s="149" t="s">
        <v>3387</v>
      </c>
      <c r="O72" s="149" t="s">
        <v>3374</v>
      </c>
    </row>
    <row r="73" spans="1:15">
      <c r="A73" s="149" t="s">
        <v>3388</v>
      </c>
      <c r="B73" s="150" t="s">
        <v>3389</v>
      </c>
      <c r="C73" s="150" t="s">
        <v>3390</v>
      </c>
      <c r="D73" s="149" t="s">
        <v>3391</v>
      </c>
      <c r="E73" s="149" t="s">
        <v>3392</v>
      </c>
      <c r="F73" s="146" t="s">
        <v>3393</v>
      </c>
      <c r="G73" s="149" t="s">
        <v>3394</v>
      </c>
      <c r="H73" s="146" t="s">
        <v>3395</v>
      </c>
      <c r="I73" s="173" t="s">
        <v>3396</v>
      </c>
      <c r="J73" s="149" t="s">
        <v>3397</v>
      </c>
      <c r="K73" s="149" t="s">
        <v>3398</v>
      </c>
      <c r="L73" s="173" t="s">
        <v>3399</v>
      </c>
      <c r="M73" s="173" t="s">
        <v>3400</v>
      </c>
      <c r="N73" s="149" t="s">
        <v>3401</v>
      </c>
      <c r="O73" s="149" t="s">
        <v>3388</v>
      </c>
    </row>
    <row r="74" spans="1:15">
      <c r="A74" s="149" t="s">
        <v>3402</v>
      </c>
      <c r="B74" s="150" t="s">
        <v>3403</v>
      </c>
      <c r="C74" s="150" t="s">
        <v>3404</v>
      </c>
      <c r="D74" s="149" t="s">
        <v>3405</v>
      </c>
      <c r="E74" s="149" t="s">
        <v>3406</v>
      </c>
      <c r="F74" s="146" t="s">
        <v>3407</v>
      </c>
      <c r="G74" s="149" t="s">
        <v>3408</v>
      </c>
      <c r="H74" s="146" t="s">
        <v>3409</v>
      </c>
      <c r="I74" s="173" t="s">
        <v>3410</v>
      </c>
      <c r="J74" s="149" t="s">
        <v>3411</v>
      </c>
      <c r="K74" s="149" t="s">
        <v>3412</v>
      </c>
      <c r="L74" s="173" t="s">
        <v>3413</v>
      </c>
      <c r="M74" s="173" t="s">
        <v>3414</v>
      </c>
      <c r="N74" s="149" t="s">
        <v>3415</v>
      </c>
      <c r="O74" s="149" t="s">
        <v>3402</v>
      </c>
    </row>
    <row r="75" spans="1:15">
      <c r="A75" s="149" t="s">
        <v>3416</v>
      </c>
      <c r="B75" s="150" t="s">
        <v>3417</v>
      </c>
      <c r="C75" s="150" t="s">
        <v>3418</v>
      </c>
      <c r="D75" s="149" t="s">
        <v>3419</v>
      </c>
      <c r="E75" s="149" t="s">
        <v>3420</v>
      </c>
      <c r="F75" s="146" t="s">
        <v>3421</v>
      </c>
      <c r="G75" s="149" t="s">
        <v>3422</v>
      </c>
      <c r="H75" s="146" t="s">
        <v>3423</v>
      </c>
      <c r="I75" s="173" t="s">
        <v>3424</v>
      </c>
      <c r="J75" s="149" t="s">
        <v>3425</v>
      </c>
      <c r="K75" s="149" t="s">
        <v>3426</v>
      </c>
      <c r="L75" s="173" t="s">
        <v>3427</v>
      </c>
      <c r="M75" s="173" t="s">
        <v>3428</v>
      </c>
      <c r="N75" s="149" t="s">
        <v>3429</v>
      </c>
      <c r="O75" s="149" t="s">
        <v>3416</v>
      </c>
    </row>
    <row r="76" spans="1:15">
      <c r="A76" s="37" t="s">
        <v>3430</v>
      </c>
      <c r="B76" s="146" t="s">
        <v>3431</v>
      </c>
      <c r="C76" s="146" t="s">
        <v>3432</v>
      </c>
      <c r="D76" s="146" t="s">
        <v>3433</v>
      </c>
      <c r="E76" s="146" t="s">
        <v>3434</v>
      </c>
      <c r="F76" s="146" t="s">
        <v>3435</v>
      </c>
      <c r="G76" s="149" t="s">
        <v>3436</v>
      </c>
      <c r="H76" s="146" t="s">
        <v>3437</v>
      </c>
      <c r="I76" s="1" t="s">
        <v>3438</v>
      </c>
      <c r="J76" s="149" t="s">
        <v>3439</v>
      </c>
      <c r="K76" s="37" t="s">
        <v>3440</v>
      </c>
      <c r="L76" s="1" t="s">
        <v>3441</v>
      </c>
      <c r="M76" s="1" t="s">
        <v>3442</v>
      </c>
      <c r="N76" s="37" t="s">
        <v>3443</v>
      </c>
      <c r="O76" s="37" t="s">
        <v>3430</v>
      </c>
    </row>
    <row r="77" spans="1:15">
      <c r="A77" s="37" t="s">
        <v>3444</v>
      </c>
      <c r="B77" s="146" t="s">
        <v>3445</v>
      </c>
      <c r="C77" s="146" t="s">
        <v>3446</v>
      </c>
      <c r="D77" s="146" t="s">
        <v>3447</v>
      </c>
      <c r="E77" s="146" t="s">
        <v>3448</v>
      </c>
      <c r="F77" s="146" t="s">
        <v>3449</v>
      </c>
      <c r="G77" s="149" t="s">
        <v>3450</v>
      </c>
      <c r="H77" s="146" t="s">
        <v>3451</v>
      </c>
      <c r="I77" s="1" t="s">
        <v>3452</v>
      </c>
      <c r="J77" s="149" t="s">
        <v>3453</v>
      </c>
      <c r="K77" s="37" t="s">
        <v>3454</v>
      </c>
      <c r="L77" s="1" t="s">
        <v>3455</v>
      </c>
      <c r="M77" s="1" t="s">
        <v>3456</v>
      </c>
      <c r="N77" s="37" t="s">
        <v>3457</v>
      </c>
      <c r="O77" s="37" t="s">
        <v>3444</v>
      </c>
    </row>
    <row r="78" spans="1:15">
      <c r="A78" s="149" t="s">
        <v>3458</v>
      </c>
      <c r="B78" s="150" t="s">
        <v>3459</v>
      </c>
      <c r="C78" s="150" t="s">
        <v>3459</v>
      </c>
      <c r="D78" s="149" t="s">
        <v>3458</v>
      </c>
      <c r="E78" s="149" t="s">
        <v>3458</v>
      </c>
      <c r="F78" s="146" t="s">
        <v>3459</v>
      </c>
      <c r="G78" s="149" t="s">
        <v>3458</v>
      </c>
      <c r="H78" s="146" t="s">
        <v>3460</v>
      </c>
      <c r="I78" s="173" t="s">
        <v>3461</v>
      </c>
      <c r="J78" s="149" t="s">
        <v>3458</v>
      </c>
      <c r="K78" s="149" t="s">
        <v>3462</v>
      </c>
      <c r="L78" s="173" t="s">
        <v>3463</v>
      </c>
      <c r="M78" s="173" t="s">
        <v>3464</v>
      </c>
      <c r="N78" s="149" t="s">
        <v>3458</v>
      </c>
      <c r="O78" s="149" t="s">
        <v>3458</v>
      </c>
    </row>
    <row r="79" spans="1:15">
      <c r="A79" s="149" t="s">
        <v>3465</v>
      </c>
      <c r="B79" s="150" t="s">
        <v>3466</v>
      </c>
      <c r="C79" s="150" t="s">
        <v>3466</v>
      </c>
      <c r="D79" s="149" t="s">
        <v>3465</v>
      </c>
      <c r="E79" s="149" t="s">
        <v>3465</v>
      </c>
      <c r="F79" s="146" t="s">
        <v>3466</v>
      </c>
      <c r="G79" s="149" t="s">
        <v>3465</v>
      </c>
      <c r="H79" s="146" t="s">
        <v>3467</v>
      </c>
      <c r="I79" s="173" t="s">
        <v>3468</v>
      </c>
      <c r="J79" s="149" t="s">
        <v>3465</v>
      </c>
      <c r="K79" s="149" t="s">
        <v>3469</v>
      </c>
      <c r="L79" s="173" t="s">
        <v>3470</v>
      </c>
      <c r="M79" s="173" t="s">
        <v>3471</v>
      </c>
      <c r="N79" s="149" t="s">
        <v>3465</v>
      </c>
      <c r="O79" s="149" t="s">
        <v>3465</v>
      </c>
    </row>
    <row r="80" spans="1:15">
      <c r="A80" s="37" t="s">
        <v>3472</v>
      </c>
      <c r="B80" s="146" t="s">
        <v>3473</v>
      </c>
      <c r="C80" s="146" t="s">
        <v>3474</v>
      </c>
      <c r="D80" s="146" t="s">
        <v>3475</v>
      </c>
      <c r="E80" s="146" t="s">
        <v>3476</v>
      </c>
      <c r="F80" s="146" t="s">
        <v>3477</v>
      </c>
      <c r="G80" s="149" t="s">
        <v>3478</v>
      </c>
      <c r="H80" s="146" t="s">
        <v>3479</v>
      </c>
      <c r="I80" s="1" t="s">
        <v>3480</v>
      </c>
      <c r="J80" s="149" t="s">
        <v>3481</v>
      </c>
      <c r="K80" s="37" t="s">
        <v>3482</v>
      </c>
      <c r="L80" s="1" t="s">
        <v>3483</v>
      </c>
      <c r="M80" s="1" t="s">
        <v>3484</v>
      </c>
      <c r="N80" s="37" t="s">
        <v>3485</v>
      </c>
      <c r="O80" s="37" t="s">
        <v>3472</v>
      </c>
    </row>
    <row r="81" spans="1:15">
      <c r="A81" s="37" t="s">
        <v>3486</v>
      </c>
      <c r="B81" s="146" t="s">
        <v>3487</v>
      </c>
      <c r="C81" s="146" t="s">
        <v>3488</v>
      </c>
      <c r="D81" s="146" t="s">
        <v>3489</v>
      </c>
      <c r="E81" s="146" t="s">
        <v>3490</v>
      </c>
      <c r="F81" s="146" t="s">
        <v>3491</v>
      </c>
      <c r="G81" s="37" t="s">
        <v>3492</v>
      </c>
      <c r="H81" s="146" t="s">
        <v>3493</v>
      </c>
      <c r="I81" s="1" t="s">
        <v>3494</v>
      </c>
      <c r="J81" s="149" t="s">
        <v>3495</v>
      </c>
      <c r="K81" s="37" t="s">
        <v>3496</v>
      </c>
      <c r="L81" s="1" t="s">
        <v>3497</v>
      </c>
      <c r="M81" s="1" t="s">
        <v>3498</v>
      </c>
      <c r="N81" s="37" t="s">
        <v>3499</v>
      </c>
      <c r="O81" s="37" t="s">
        <v>3486</v>
      </c>
    </row>
    <row r="82" spans="1:15">
      <c r="A82" s="37" t="s">
        <v>3500</v>
      </c>
      <c r="B82" s="146" t="s">
        <v>3501</v>
      </c>
      <c r="C82" s="146" t="s">
        <v>3502</v>
      </c>
      <c r="D82" s="146" t="s">
        <v>3503</v>
      </c>
      <c r="E82" s="146" t="s">
        <v>3504</v>
      </c>
      <c r="F82" s="146" t="s">
        <v>3505</v>
      </c>
      <c r="G82" s="37" t="s">
        <v>3506</v>
      </c>
      <c r="H82" s="146" t="s">
        <v>3507</v>
      </c>
      <c r="I82" s="1" t="s">
        <v>3508</v>
      </c>
      <c r="J82" s="149" t="s">
        <v>3509</v>
      </c>
      <c r="K82" s="37" t="s">
        <v>3510</v>
      </c>
      <c r="L82" s="1" t="s">
        <v>3511</v>
      </c>
      <c r="M82" s="1" t="s">
        <v>3512</v>
      </c>
      <c r="N82" s="37" t="s">
        <v>3513</v>
      </c>
      <c r="O82" s="37" t="s">
        <v>3500</v>
      </c>
    </row>
    <row r="83" spans="1:15" ht="28.8">
      <c r="A83" s="154" t="s">
        <v>3514</v>
      </c>
      <c r="B83" s="148" t="s">
        <v>3515</v>
      </c>
      <c r="C83" s="146" t="s">
        <v>3516</v>
      </c>
      <c r="D83" s="148" t="s">
        <v>3517</v>
      </c>
      <c r="E83" s="148" t="s">
        <v>3518</v>
      </c>
      <c r="F83" s="148" t="s">
        <v>3519</v>
      </c>
      <c r="G83" s="149" t="s">
        <v>3520</v>
      </c>
      <c r="H83" s="148" t="s">
        <v>3521</v>
      </c>
      <c r="I83" s="81" t="s">
        <v>3522</v>
      </c>
      <c r="J83" s="149" t="s">
        <v>3523</v>
      </c>
      <c r="K83" s="37" t="s">
        <v>3524</v>
      </c>
      <c r="L83" s="81" t="s">
        <v>3525</v>
      </c>
      <c r="M83" s="81" t="s">
        <v>3526</v>
      </c>
      <c r="N83" s="154" t="s">
        <v>3527</v>
      </c>
      <c r="O83" s="154" t="s">
        <v>3514</v>
      </c>
    </row>
    <row r="84" spans="1:15">
      <c r="A84" s="37" t="s">
        <v>3528</v>
      </c>
      <c r="B84" s="146" t="s">
        <v>3529</v>
      </c>
      <c r="C84" s="146" t="s">
        <v>3530</v>
      </c>
      <c r="D84" s="146" t="s">
        <v>3531</v>
      </c>
      <c r="E84" s="146" t="s">
        <v>3532</v>
      </c>
      <c r="F84" s="146" t="s">
        <v>3533</v>
      </c>
      <c r="G84" s="149" t="s">
        <v>3534</v>
      </c>
      <c r="H84" s="146" t="s">
        <v>3535</v>
      </c>
      <c r="I84" s="1" t="s">
        <v>3536</v>
      </c>
      <c r="J84" s="149" t="s">
        <v>3537</v>
      </c>
      <c r="K84" s="37" t="s">
        <v>3538</v>
      </c>
      <c r="L84" s="1" t="s">
        <v>3539</v>
      </c>
      <c r="M84" s="1" t="s">
        <v>3540</v>
      </c>
      <c r="N84" s="37" t="s">
        <v>3541</v>
      </c>
      <c r="O84" s="37" t="s">
        <v>3528</v>
      </c>
    </row>
    <row r="85" spans="1:15">
      <c r="A85" s="37" t="s">
        <v>3542</v>
      </c>
      <c r="B85" s="146" t="s">
        <v>3543</v>
      </c>
      <c r="C85" s="146" t="s">
        <v>3544</v>
      </c>
      <c r="D85" s="146" t="s">
        <v>3545</v>
      </c>
      <c r="E85" s="146" t="s">
        <v>3546</v>
      </c>
      <c r="F85" s="146" t="s">
        <v>3547</v>
      </c>
      <c r="G85" s="149" t="s">
        <v>3548</v>
      </c>
      <c r="H85" s="146" t="s">
        <v>3549</v>
      </c>
      <c r="I85" s="1" t="s">
        <v>3550</v>
      </c>
      <c r="J85" s="149" t="s">
        <v>3551</v>
      </c>
      <c r="K85" s="37" t="s">
        <v>3552</v>
      </c>
      <c r="L85" s="1" t="s">
        <v>3553</v>
      </c>
      <c r="M85" s="1" t="s">
        <v>3554</v>
      </c>
      <c r="N85" s="37" t="s">
        <v>3555</v>
      </c>
      <c r="O85" s="37" t="s">
        <v>3542</v>
      </c>
    </row>
    <row r="86" spans="1:15">
      <c r="A86" s="37" t="s">
        <v>3556</v>
      </c>
      <c r="B86" s="146" t="s">
        <v>3557</v>
      </c>
      <c r="C86" s="146" t="s">
        <v>3558</v>
      </c>
      <c r="D86" s="146" t="s">
        <v>3559</v>
      </c>
      <c r="E86" s="146" t="s">
        <v>3560</v>
      </c>
      <c r="F86" s="146" t="s">
        <v>3561</v>
      </c>
      <c r="G86" s="149" t="s">
        <v>3562</v>
      </c>
      <c r="H86" s="146" t="s">
        <v>3563</v>
      </c>
      <c r="I86" s="1" t="s">
        <v>3564</v>
      </c>
      <c r="J86" s="149" t="s">
        <v>3565</v>
      </c>
      <c r="K86" s="37" t="s">
        <v>3566</v>
      </c>
      <c r="L86" s="1" t="s">
        <v>3567</v>
      </c>
      <c r="M86" s="1" t="s">
        <v>3568</v>
      </c>
      <c r="N86" s="37" t="s">
        <v>3569</v>
      </c>
      <c r="O86" s="37" t="s">
        <v>3556</v>
      </c>
    </row>
    <row r="87" spans="1:15">
      <c r="A87" s="37" t="s">
        <v>3570</v>
      </c>
      <c r="B87" s="146" t="s">
        <v>3571</v>
      </c>
      <c r="C87" s="146" t="s">
        <v>3572</v>
      </c>
      <c r="D87" s="146" t="s">
        <v>3573</v>
      </c>
      <c r="E87" s="146" t="s">
        <v>3574</v>
      </c>
      <c r="F87" s="146" t="s">
        <v>3575</v>
      </c>
      <c r="G87" s="149" t="s">
        <v>3576</v>
      </c>
      <c r="H87" s="146" t="s">
        <v>3577</v>
      </c>
      <c r="I87" s="1" t="s">
        <v>3578</v>
      </c>
      <c r="J87" s="149" t="s">
        <v>3579</v>
      </c>
      <c r="K87" s="37" t="s">
        <v>3580</v>
      </c>
      <c r="L87" s="1" t="s">
        <v>3581</v>
      </c>
      <c r="M87" s="1" t="s">
        <v>3582</v>
      </c>
      <c r="N87" s="37" t="s">
        <v>3583</v>
      </c>
      <c r="O87" s="37" t="s">
        <v>3570</v>
      </c>
    </row>
    <row r="88" spans="1:15">
      <c r="A88" s="37" t="s">
        <v>3584</v>
      </c>
      <c r="B88" s="146" t="s">
        <v>3585</v>
      </c>
      <c r="C88" s="146" t="s">
        <v>3586</v>
      </c>
      <c r="D88" s="37" t="s">
        <v>3587</v>
      </c>
      <c r="E88" s="37" t="s">
        <v>3588</v>
      </c>
      <c r="F88" s="146" t="s">
        <v>3589</v>
      </c>
      <c r="G88" s="149" t="s">
        <v>3590</v>
      </c>
      <c r="H88" s="146" t="s">
        <v>3591</v>
      </c>
      <c r="I88" s="1" t="s">
        <v>3592</v>
      </c>
      <c r="J88" s="149" t="s">
        <v>3593</v>
      </c>
      <c r="K88" s="37" t="s">
        <v>3594</v>
      </c>
      <c r="L88" s="1" t="s">
        <v>3595</v>
      </c>
      <c r="M88" s="1" t="s">
        <v>3596</v>
      </c>
      <c r="N88" s="37" t="s">
        <v>3597</v>
      </c>
      <c r="O88" s="37" t="s">
        <v>3584</v>
      </c>
    </row>
    <row r="89" spans="1:15">
      <c r="A89" s="37" t="s">
        <v>3584</v>
      </c>
      <c r="B89" s="146" t="s">
        <v>3598</v>
      </c>
      <c r="C89" s="146" t="s">
        <v>3599</v>
      </c>
      <c r="D89" s="37" t="s">
        <v>3600</v>
      </c>
      <c r="E89" s="37" t="s">
        <v>3601</v>
      </c>
      <c r="F89" s="146" t="s">
        <v>3602</v>
      </c>
      <c r="G89" s="149" t="s">
        <v>3603</v>
      </c>
      <c r="H89" s="146" t="s">
        <v>3604</v>
      </c>
      <c r="I89" s="1" t="s">
        <v>3605</v>
      </c>
      <c r="J89" s="149" t="s">
        <v>3606</v>
      </c>
      <c r="K89" s="37" t="s">
        <v>3607</v>
      </c>
      <c r="L89" s="1" t="s">
        <v>3608</v>
      </c>
      <c r="M89" s="1" t="s">
        <v>3609</v>
      </c>
      <c r="N89" s="37" t="s">
        <v>3610</v>
      </c>
      <c r="O89" s="37" t="s">
        <v>3584</v>
      </c>
    </row>
    <row r="90" spans="1:15">
      <c r="A90" s="149" t="s">
        <v>3611</v>
      </c>
      <c r="B90" s="150" t="s">
        <v>3612</v>
      </c>
      <c r="C90" s="150" t="s">
        <v>3613</v>
      </c>
      <c r="D90" s="149" t="s">
        <v>3614</v>
      </c>
      <c r="E90" s="149" t="s">
        <v>3615</v>
      </c>
      <c r="F90" s="146" t="s">
        <v>3616</v>
      </c>
      <c r="G90" s="149" t="s">
        <v>3617</v>
      </c>
      <c r="H90" s="146" t="s">
        <v>3618</v>
      </c>
      <c r="I90" s="173" t="s">
        <v>3619</v>
      </c>
      <c r="J90" s="149" t="s">
        <v>3620</v>
      </c>
      <c r="K90" s="149" t="s">
        <v>3621</v>
      </c>
      <c r="L90" s="173" t="s">
        <v>3622</v>
      </c>
      <c r="M90" s="173" t="s">
        <v>3622</v>
      </c>
      <c r="N90" s="149" t="s">
        <v>3623</v>
      </c>
      <c r="O90" s="149" t="s">
        <v>3611</v>
      </c>
    </row>
    <row r="91" spans="1:15">
      <c r="A91" s="149" t="s">
        <v>3624</v>
      </c>
      <c r="B91" s="150" t="s">
        <v>3625</v>
      </c>
      <c r="C91" s="150" t="s">
        <v>3626</v>
      </c>
      <c r="D91" s="149" t="s">
        <v>3627</v>
      </c>
      <c r="E91" s="149" t="s">
        <v>3628</v>
      </c>
      <c r="F91" s="146" t="s">
        <v>3629</v>
      </c>
      <c r="G91" s="149" t="s">
        <v>3630</v>
      </c>
      <c r="H91" s="146" t="s">
        <v>3631</v>
      </c>
      <c r="I91" s="173" t="s">
        <v>3632</v>
      </c>
      <c r="J91" s="149" t="s">
        <v>3633</v>
      </c>
      <c r="K91" s="149" t="s">
        <v>3634</v>
      </c>
      <c r="L91" s="173" t="s">
        <v>3635</v>
      </c>
      <c r="M91" s="173" t="s">
        <v>3635</v>
      </c>
      <c r="N91" s="149" t="s">
        <v>3636</v>
      </c>
      <c r="O91" s="149" t="s">
        <v>3624</v>
      </c>
    </row>
    <row r="92" spans="1:15">
      <c r="A92" s="149" t="s">
        <v>3637</v>
      </c>
      <c r="B92" s="150" t="s">
        <v>3638</v>
      </c>
      <c r="C92" s="150" t="s">
        <v>3639</v>
      </c>
      <c r="D92" s="149" t="s">
        <v>3640</v>
      </c>
      <c r="E92" s="149" t="s">
        <v>3641</v>
      </c>
      <c r="F92" s="146" t="s">
        <v>3642</v>
      </c>
      <c r="G92" s="149" t="s">
        <v>3643</v>
      </c>
      <c r="H92" s="146" t="s">
        <v>3644</v>
      </c>
      <c r="I92" s="173" t="s">
        <v>3645</v>
      </c>
      <c r="J92" s="149" t="s">
        <v>3646</v>
      </c>
      <c r="K92" s="149" t="s">
        <v>3647</v>
      </c>
      <c r="L92" s="173" t="s">
        <v>3648</v>
      </c>
      <c r="M92" s="173" t="s">
        <v>3648</v>
      </c>
      <c r="N92" s="149" t="s">
        <v>3649</v>
      </c>
      <c r="O92" s="149" t="s">
        <v>3637</v>
      </c>
    </row>
    <row r="93" spans="1:15">
      <c r="A93" s="149" t="s">
        <v>3650</v>
      </c>
      <c r="B93" s="150" t="s">
        <v>3651</v>
      </c>
      <c r="C93" s="150" t="s">
        <v>3652</v>
      </c>
      <c r="D93" s="149" t="s">
        <v>3653</v>
      </c>
      <c r="E93" s="149" t="s">
        <v>3654</v>
      </c>
      <c r="F93" s="146" t="s">
        <v>3655</v>
      </c>
      <c r="G93" s="149" t="s">
        <v>3656</v>
      </c>
      <c r="H93" s="146" t="s">
        <v>3657</v>
      </c>
      <c r="I93" s="173" t="s">
        <v>3658</v>
      </c>
      <c r="J93" s="149" t="s">
        <v>3659</v>
      </c>
      <c r="K93" s="149" t="s">
        <v>3660</v>
      </c>
      <c r="L93" s="173" t="s">
        <v>3661</v>
      </c>
      <c r="M93" s="173" t="s">
        <v>3661</v>
      </c>
      <c r="N93" s="149" t="s">
        <v>3662</v>
      </c>
      <c r="O93" s="149" t="s">
        <v>3650</v>
      </c>
    </row>
    <row r="94" spans="1:15" ht="28.8">
      <c r="A94" s="154" t="s">
        <v>3663</v>
      </c>
      <c r="B94" s="148" t="s">
        <v>3664</v>
      </c>
      <c r="C94" s="146" t="s">
        <v>3665</v>
      </c>
      <c r="D94" s="148" t="s">
        <v>3666</v>
      </c>
      <c r="E94" s="148" t="s">
        <v>3667</v>
      </c>
      <c r="F94" s="148" t="s">
        <v>3668</v>
      </c>
      <c r="G94" s="149" t="s">
        <v>3669</v>
      </c>
      <c r="H94" s="148" t="s">
        <v>3670</v>
      </c>
      <c r="I94" s="81" t="s">
        <v>3671</v>
      </c>
      <c r="J94" s="149" t="s">
        <v>3672</v>
      </c>
      <c r="K94" s="37" t="s">
        <v>3673</v>
      </c>
      <c r="L94" s="81" t="s">
        <v>3674</v>
      </c>
      <c r="M94" s="81" t="s">
        <v>3675</v>
      </c>
      <c r="N94" s="154" t="s">
        <v>3676</v>
      </c>
      <c r="O94" s="154" t="s">
        <v>3663</v>
      </c>
    </row>
    <row r="95" spans="1:15" ht="28.8">
      <c r="A95" s="154" t="s">
        <v>3677</v>
      </c>
      <c r="B95" s="148" t="s">
        <v>3678</v>
      </c>
      <c r="C95" s="146" t="s">
        <v>3679</v>
      </c>
      <c r="D95" s="148" t="s">
        <v>3680</v>
      </c>
      <c r="E95" s="148" t="s">
        <v>3681</v>
      </c>
      <c r="F95" s="148" t="s">
        <v>3682</v>
      </c>
      <c r="G95" s="149" t="s">
        <v>3683</v>
      </c>
      <c r="H95" s="148" t="s">
        <v>3684</v>
      </c>
      <c r="I95" s="81" t="s">
        <v>3685</v>
      </c>
      <c r="J95" s="149" t="s">
        <v>3686</v>
      </c>
      <c r="K95" s="37" t="s">
        <v>3687</v>
      </c>
      <c r="L95" s="81" t="s">
        <v>3688</v>
      </c>
      <c r="M95" s="81" t="s">
        <v>3689</v>
      </c>
      <c r="N95" s="154" t="s">
        <v>3690</v>
      </c>
      <c r="O95" s="154" t="s">
        <v>3677</v>
      </c>
    </row>
    <row r="96" spans="1:15">
      <c r="A96" s="37" t="s">
        <v>3691</v>
      </c>
      <c r="B96" s="146" t="s">
        <v>3692</v>
      </c>
      <c r="C96" s="146" t="s">
        <v>3693</v>
      </c>
      <c r="D96" s="146" t="s">
        <v>3694</v>
      </c>
      <c r="E96" s="146" t="s">
        <v>3695</v>
      </c>
      <c r="F96" s="146" t="s">
        <v>3696</v>
      </c>
      <c r="G96" s="149" t="s">
        <v>3697</v>
      </c>
      <c r="H96" s="146" t="s">
        <v>3698</v>
      </c>
      <c r="I96" s="1" t="s">
        <v>3699</v>
      </c>
      <c r="J96" s="149" t="s">
        <v>3700</v>
      </c>
      <c r="K96" s="37" t="s">
        <v>3701</v>
      </c>
      <c r="L96" s="1" t="s">
        <v>3702</v>
      </c>
      <c r="M96" s="1" t="s">
        <v>3703</v>
      </c>
      <c r="N96" s="37" t="s">
        <v>3704</v>
      </c>
      <c r="O96" s="37" t="s">
        <v>3691</v>
      </c>
    </row>
    <row r="97" spans="1:15">
      <c r="A97" s="37" t="s">
        <v>3705</v>
      </c>
      <c r="B97" s="146" t="s">
        <v>3706</v>
      </c>
      <c r="C97" s="146" t="s">
        <v>3707</v>
      </c>
      <c r="D97" s="146" t="s">
        <v>3708</v>
      </c>
      <c r="E97" s="146" t="s">
        <v>3709</v>
      </c>
      <c r="F97" s="146" t="s">
        <v>3710</v>
      </c>
      <c r="G97" s="149" t="s">
        <v>3711</v>
      </c>
      <c r="H97" s="146" t="s">
        <v>3712</v>
      </c>
      <c r="I97" s="1" t="s">
        <v>3713</v>
      </c>
      <c r="J97" s="149" t="s">
        <v>3714</v>
      </c>
      <c r="K97" s="37" t="s">
        <v>3715</v>
      </c>
      <c r="L97" s="1" t="s">
        <v>3716</v>
      </c>
      <c r="M97" s="1" t="s">
        <v>3717</v>
      </c>
      <c r="N97" s="37" t="s">
        <v>3718</v>
      </c>
      <c r="O97" s="37" t="s">
        <v>3705</v>
      </c>
    </row>
    <row r="98" spans="1:15">
      <c r="A98" s="37" t="s">
        <v>3719</v>
      </c>
      <c r="B98" s="146" t="s">
        <v>3720</v>
      </c>
      <c r="C98" s="146" t="s">
        <v>3721</v>
      </c>
      <c r="D98" s="146" t="s">
        <v>3722</v>
      </c>
      <c r="E98" s="146" t="s">
        <v>3723</v>
      </c>
      <c r="F98" s="146" t="s">
        <v>3724</v>
      </c>
      <c r="G98" s="149" t="s">
        <v>3725</v>
      </c>
      <c r="H98" s="146" t="s">
        <v>3726</v>
      </c>
      <c r="I98" s="1" t="s">
        <v>3727</v>
      </c>
      <c r="J98" s="149" t="s">
        <v>3728</v>
      </c>
      <c r="K98" s="37" t="s">
        <v>3729</v>
      </c>
      <c r="L98" s="1" t="s">
        <v>3730</v>
      </c>
      <c r="M98" s="1" t="s">
        <v>3731</v>
      </c>
      <c r="N98" s="37" t="s">
        <v>3732</v>
      </c>
      <c r="O98" s="37" t="s">
        <v>3719</v>
      </c>
    </row>
    <row r="99" spans="1:15">
      <c r="A99" s="37" t="s">
        <v>3733</v>
      </c>
      <c r="B99" s="146" t="s">
        <v>3734</v>
      </c>
      <c r="C99" s="146" t="s">
        <v>3735</v>
      </c>
      <c r="D99" s="146" t="s">
        <v>3736</v>
      </c>
      <c r="E99" s="146" t="s">
        <v>3737</v>
      </c>
      <c r="F99" s="146" t="s">
        <v>3738</v>
      </c>
      <c r="G99" s="149" t="s">
        <v>3739</v>
      </c>
      <c r="H99" s="146" t="s">
        <v>3740</v>
      </c>
      <c r="I99" s="1" t="s">
        <v>3741</v>
      </c>
      <c r="J99" s="149" t="s">
        <v>3742</v>
      </c>
      <c r="K99" s="37" t="s">
        <v>3743</v>
      </c>
      <c r="L99" s="1" t="s">
        <v>3744</v>
      </c>
      <c r="M99" s="1" t="s">
        <v>3745</v>
      </c>
      <c r="N99" s="37" t="s">
        <v>3746</v>
      </c>
      <c r="O99" s="37" t="s">
        <v>3733</v>
      </c>
    </row>
    <row r="100" spans="1:15" s="150" customFormat="1">
      <c r="A100" s="235" t="s">
        <v>3747</v>
      </c>
      <c r="B100" s="150" t="s">
        <v>3748</v>
      </c>
      <c r="C100" s="150" t="s">
        <v>3749</v>
      </c>
      <c r="D100" s="150" t="s">
        <v>3750</v>
      </c>
      <c r="E100" s="150" t="s">
        <v>3751</v>
      </c>
      <c r="F100" s="150" t="s">
        <v>3752</v>
      </c>
      <c r="G100" s="149" t="s">
        <v>3753</v>
      </c>
      <c r="H100" s="150" t="s">
        <v>3754</v>
      </c>
      <c r="I100" s="171" t="s">
        <v>3755</v>
      </c>
      <c r="J100" s="149" t="s">
        <v>3756</v>
      </c>
      <c r="K100" s="235" t="s">
        <v>3757</v>
      </c>
      <c r="L100" s="171" t="s">
        <v>3758</v>
      </c>
      <c r="M100" s="171" t="s">
        <v>3759</v>
      </c>
      <c r="N100" s="235" t="s">
        <v>3760</v>
      </c>
      <c r="O100" s="235" t="s">
        <v>3747</v>
      </c>
    </row>
    <row r="101" spans="1:15">
      <c r="A101" s="37" t="s">
        <v>3761</v>
      </c>
      <c r="B101" s="146" t="s">
        <v>3762</v>
      </c>
      <c r="C101" s="146" t="s">
        <v>3763</v>
      </c>
      <c r="D101" s="146" t="s">
        <v>3764</v>
      </c>
      <c r="E101" s="146" t="s">
        <v>3765</v>
      </c>
      <c r="F101" s="146" t="s">
        <v>3766</v>
      </c>
      <c r="G101" s="37" t="s">
        <v>3767</v>
      </c>
      <c r="H101" s="146" t="s">
        <v>3768</v>
      </c>
      <c r="I101" s="1" t="s">
        <v>3769</v>
      </c>
      <c r="J101" s="149" t="s">
        <v>3770</v>
      </c>
      <c r="K101" s="37" t="s">
        <v>3771</v>
      </c>
      <c r="L101" s="1" t="s">
        <v>3772</v>
      </c>
      <c r="M101" s="1" t="s">
        <v>3773</v>
      </c>
      <c r="N101" s="37" t="s">
        <v>3774</v>
      </c>
      <c r="O101" s="37" t="s">
        <v>3761</v>
      </c>
    </row>
    <row r="102" spans="1:15">
      <c r="A102" s="37" t="s">
        <v>3775</v>
      </c>
      <c r="B102" s="146" t="s">
        <v>3776</v>
      </c>
      <c r="C102" s="146" t="s">
        <v>3777</v>
      </c>
      <c r="D102" s="146" t="s">
        <v>3778</v>
      </c>
      <c r="E102" s="146" t="s">
        <v>3779</v>
      </c>
      <c r="F102" s="146" t="s">
        <v>3780</v>
      </c>
      <c r="G102" s="37" t="s">
        <v>3781</v>
      </c>
      <c r="H102" s="146" t="s">
        <v>3782</v>
      </c>
      <c r="I102" s="1" t="s">
        <v>3783</v>
      </c>
      <c r="J102" s="149" t="s">
        <v>3784</v>
      </c>
      <c r="K102" s="37" t="s">
        <v>3785</v>
      </c>
      <c r="L102" s="1" t="s">
        <v>3786</v>
      </c>
      <c r="M102" s="1" t="s">
        <v>3785</v>
      </c>
      <c r="N102" s="37" t="s">
        <v>3787</v>
      </c>
      <c r="O102" s="37" t="s">
        <v>3775</v>
      </c>
    </row>
    <row r="103" spans="1:15">
      <c r="A103" s="37" t="s">
        <v>3788</v>
      </c>
      <c r="B103" s="146" t="s">
        <v>3789</v>
      </c>
      <c r="C103" s="146" t="s">
        <v>3790</v>
      </c>
      <c r="D103" s="146" t="s">
        <v>3791</v>
      </c>
      <c r="E103" s="146" t="s">
        <v>3792</v>
      </c>
      <c r="F103" s="146" t="s">
        <v>3793</v>
      </c>
      <c r="G103" s="37" t="s">
        <v>3794</v>
      </c>
      <c r="H103" s="146" t="s">
        <v>3795</v>
      </c>
      <c r="I103" s="1" t="s">
        <v>3796</v>
      </c>
      <c r="J103" s="149" t="s">
        <v>3797</v>
      </c>
      <c r="K103" s="37" t="s">
        <v>3798</v>
      </c>
      <c r="L103" s="1" t="s">
        <v>3799</v>
      </c>
      <c r="M103" s="1" t="s">
        <v>3798</v>
      </c>
      <c r="N103" s="37" t="s">
        <v>3800</v>
      </c>
      <c r="O103" s="37" t="s">
        <v>3788</v>
      </c>
    </row>
    <row r="104" spans="1:15">
      <c r="A104" s="37" t="s">
        <v>3801</v>
      </c>
      <c r="B104" s="146" t="s">
        <v>3802</v>
      </c>
      <c r="C104" s="146" t="s">
        <v>3803</v>
      </c>
      <c r="D104" s="146" t="s">
        <v>3804</v>
      </c>
      <c r="E104" s="146" t="s">
        <v>3805</v>
      </c>
      <c r="F104" s="146" t="s">
        <v>3806</v>
      </c>
      <c r="G104" s="37" t="s">
        <v>3807</v>
      </c>
      <c r="H104" s="146" t="s">
        <v>3808</v>
      </c>
      <c r="I104" s="1" t="s">
        <v>3809</v>
      </c>
      <c r="J104" s="149" t="s">
        <v>3810</v>
      </c>
      <c r="K104" s="37" t="s">
        <v>3811</v>
      </c>
      <c r="L104" s="1" t="s">
        <v>3812</v>
      </c>
      <c r="M104" s="1" t="s">
        <v>3811</v>
      </c>
      <c r="N104" s="37" t="s">
        <v>3813</v>
      </c>
      <c r="O104" s="37" t="s">
        <v>3801</v>
      </c>
    </row>
    <row r="105" spans="1:15">
      <c r="A105" s="37" t="s">
        <v>3814</v>
      </c>
      <c r="B105" s="146" t="s">
        <v>3815</v>
      </c>
      <c r="C105" s="146" t="s">
        <v>3816</v>
      </c>
      <c r="D105" s="146" t="s">
        <v>3817</v>
      </c>
      <c r="E105" s="146" t="s">
        <v>3818</v>
      </c>
      <c r="F105" s="146" t="s">
        <v>3819</v>
      </c>
      <c r="G105" s="37" t="s">
        <v>3820</v>
      </c>
      <c r="H105" s="146" t="s">
        <v>3821</v>
      </c>
      <c r="I105" s="1" t="s">
        <v>3822</v>
      </c>
      <c r="J105" s="149" t="s">
        <v>3823</v>
      </c>
      <c r="K105" s="37" t="s">
        <v>3824</v>
      </c>
      <c r="L105" s="1" t="s">
        <v>3825</v>
      </c>
      <c r="M105" s="1" t="s">
        <v>3825</v>
      </c>
      <c r="N105" s="37" t="s">
        <v>3826</v>
      </c>
      <c r="O105" s="37" t="s">
        <v>3814</v>
      </c>
    </row>
    <row r="106" spans="1:15">
      <c r="A106" s="149" t="s">
        <v>3827</v>
      </c>
      <c r="B106" s="150" t="s">
        <v>3828</v>
      </c>
      <c r="C106" s="150" t="s">
        <v>3829</v>
      </c>
      <c r="D106" s="149" t="s">
        <v>3827</v>
      </c>
      <c r="E106" s="149" t="s">
        <v>3827</v>
      </c>
      <c r="F106" s="146" t="s">
        <v>3828</v>
      </c>
      <c r="G106" s="149" t="s">
        <v>3827</v>
      </c>
      <c r="H106" s="146" t="s">
        <v>3827</v>
      </c>
      <c r="I106" s="173" t="s">
        <v>3830</v>
      </c>
      <c r="J106" s="149" t="s">
        <v>3827</v>
      </c>
      <c r="K106" s="149" t="s">
        <v>3830</v>
      </c>
      <c r="L106" s="173" t="s">
        <v>3830</v>
      </c>
      <c r="M106" s="173" t="s">
        <v>3831</v>
      </c>
      <c r="N106" s="149" t="s">
        <v>3827</v>
      </c>
      <c r="O106" s="149" t="s">
        <v>3827</v>
      </c>
    </row>
    <row r="107" spans="1:15">
      <c r="A107" s="149" t="s">
        <v>3832</v>
      </c>
      <c r="B107" s="150" t="s">
        <v>3833</v>
      </c>
      <c r="C107" s="150" t="s">
        <v>3834</v>
      </c>
      <c r="D107" s="149" t="s">
        <v>3832</v>
      </c>
      <c r="E107" s="149" t="s">
        <v>3832</v>
      </c>
      <c r="F107" s="146" t="s">
        <v>3833</v>
      </c>
      <c r="G107" s="149" t="s">
        <v>3832</v>
      </c>
      <c r="H107" s="146" t="s">
        <v>3832</v>
      </c>
      <c r="I107" s="173" t="s">
        <v>3835</v>
      </c>
      <c r="J107" s="149" t="s">
        <v>3832</v>
      </c>
      <c r="K107" s="149" t="s">
        <v>3835</v>
      </c>
      <c r="L107" s="173" t="s">
        <v>3835</v>
      </c>
      <c r="M107" s="173" t="s">
        <v>3836</v>
      </c>
      <c r="N107" s="149" t="s">
        <v>3832</v>
      </c>
      <c r="O107" s="149" t="s">
        <v>3832</v>
      </c>
    </row>
    <row r="108" spans="1:15">
      <c r="A108" s="149" t="s">
        <v>3837</v>
      </c>
      <c r="B108" s="150" t="s">
        <v>3838</v>
      </c>
      <c r="C108" s="150" t="s">
        <v>3839</v>
      </c>
      <c r="D108" s="149" t="s">
        <v>3837</v>
      </c>
      <c r="E108" s="149" t="s">
        <v>3837</v>
      </c>
      <c r="F108" s="146" t="s">
        <v>3838</v>
      </c>
      <c r="G108" s="149" t="s">
        <v>3837</v>
      </c>
      <c r="H108" s="146" t="s">
        <v>3837</v>
      </c>
      <c r="I108" s="173" t="s">
        <v>3840</v>
      </c>
      <c r="J108" s="149" t="s">
        <v>3837</v>
      </c>
      <c r="K108" s="149" t="s">
        <v>3841</v>
      </c>
      <c r="L108" s="173" t="s">
        <v>3841</v>
      </c>
      <c r="M108" s="173" t="s">
        <v>3842</v>
      </c>
      <c r="N108" s="149" t="s">
        <v>3837</v>
      </c>
      <c r="O108" s="149" t="s">
        <v>3837</v>
      </c>
    </row>
    <row r="109" spans="1:15" s="150" customFormat="1">
      <c r="A109" s="235" t="s">
        <v>3843</v>
      </c>
      <c r="B109" s="150" t="s">
        <v>3844</v>
      </c>
      <c r="C109" s="150" t="s">
        <v>3845</v>
      </c>
      <c r="D109" s="150" t="s">
        <v>3846</v>
      </c>
      <c r="E109" s="150" t="s">
        <v>3847</v>
      </c>
      <c r="F109" s="150" t="s">
        <v>3848</v>
      </c>
      <c r="G109" s="149" t="s">
        <v>3849</v>
      </c>
      <c r="H109" s="150" t="s">
        <v>3850</v>
      </c>
      <c r="I109" s="171" t="s">
        <v>3851</v>
      </c>
      <c r="J109" s="149" t="s">
        <v>3852</v>
      </c>
      <c r="K109" s="235" t="s">
        <v>3853</v>
      </c>
      <c r="L109" s="171" t="s">
        <v>3854</v>
      </c>
      <c r="M109" s="171" t="s">
        <v>3855</v>
      </c>
      <c r="N109" s="235" t="s">
        <v>3856</v>
      </c>
      <c r="O109" s="235" t="s">
        <v>3843</v>
      </c>
    </row>
    <row r="110" spans="1:15">
      <c r="A110" s="37" t="s">
        <v>3857</v>
      </c>
      <c r="B110" s="146" t="s">
        <v>3858</v>
      </c>
      <c r="C110" s="146" t="s">
        <v>3859</v>
      </c>
      <c r="D110" s="146" t="s">
        <v>3860</v>
      </c>
      <c r="E110" s="146" t="s">
        <v>3861</v>
      </c>
      <c r="F110" s="146" t="s">
        <v>3862</v>
      </c>
      <c r="G110" s="149" t="s">
        <v>3863</v>
      </c>
      <c r="H110" s="146" t="s">
        <v>3864</v>
      </c>
      <c r="I110" s="1" t="s">
        <v>3865</v>
      </c>
      <c r="J110" s="149" t="s">
        <v>3866</v>
      </c>
      <c r="K110" s="37" t="s">
        <v>3867</v>
      </c>
      <c r="L110" s="1" t="s">
        <v>3868</v>
      </c>
      <c r="M110" s="1" t="s">
        <v>3869</v>
      </c>
      <c r="N110" s="37" t="s">
        <v>3870</v>
      </c>
      <c r="O110" s="37" t="s">
        <v>3857</v>
      </c>
    </row>
    <row r="111" spans="1:15">
      <c r="A111" s="37" t="s">
        <v>3871</v>
      </c>
      <c r="B111" s="146" t="s">
        <v>3872</v>
      </c>
      <c r="C111" s="146" t="s">
        <v>3873</v>
      </c>
      <c r="D111" s="146" t="s">
        <v>3874</v>
      </c>
      <c r="E111" s="146" t="s">
        <v>3875</v>
      </c>
      <c r="F111" s="146" t="s">
        <v>3876</v>
      </c>
      <c r="G111" s="149" t="s">
        <v>3877</v>
      </c>
      <c r="H111" s="146" t="s">
        <v>3878</v>
      </c>
      <c r="I111" s="1" t="s">
        <v>3879</v>
      </c>
      <c r="J111" s="149" t="s">
        <v>3880</v>
      </c>
      <c r="K111" s="37" t="s">
        <v>3881</v>
      </c>
      <c r="L111" s="1" t="s">
        <v>3882</v>
      </c>
      <c r="M111" s="1" t="s">
        <v>3883</v>
      </c>
      <c r="N111" s="37" t="s">
        <v>3884</v>
      </c>
      <c r="O111" s="37" t="s">
        <v>3871</v>
      </c>
    </row>
    <row r="112" spans="1:15">
      <c r="A112" s="37" t="s">
        <v>3885</v>
      </c>
      <c r="B112" s="146" t="s">
        <v>3886</v>
      </c>
      <c r="C112" s="146" t="s">
        <v>3887</v>
      </c>
      <c r="D112" s="146" t="s">
        <v>3888</v>
      </c>
      <c r="E112" s="146" t="s">
        <v>3889</v>
      </c>
      <c r="F112" s="146" t="s">
        <v>3890</v>
      </c>
      <c r="G112" s="149" t="s">
        <v>3891</v>
      </c>
      <c r="H112" s="146" t="s">
        <v>3892</v>
      </c>
      <c r="I112" s="1" t="s">
        <v>3893</v>
      </c>
      <c r="J112" s="149" t="s">
        <v>3894</v>
      </c>
      <c r="K112" s="37" t="s">
        <v>3895</v>
      </c>
      <c r="L112" s="1" t="s">
        <v>3896</v>
      </c>
      <c r="M112" s="1" t="s">
        <v>3897</v>
      </c>
      <c r="N112" s="37" t="s">
        <v>3898</v>
      </c>
      <c r="O112" s="37" t="s">
        <v>3885</v>
      </c>
    </row>
    <row r="113" spans="1:15">
      <c r="A113" s="37" t="s">
        <v>3899</v>
      </c>
      <c r="B113" s="146" t="s">
        <v>3900</v>
      </c>
      <c r="C113" s="146" t="s">
        <v>3901</v>
      </c>
      <c r="D113" s="146" t="s">
        <v>3902</v>
      </c>
      <c r="E113" s="146" t="s">
        <v>3903</v>
      </c>
      <c r="F113" s="146" t="s">
        <v>3904</v>
      </c>
      <c r="G113" s="149" t="s">
        <v>3905</v>
      </c>
      <c r="H113" s="146" t="s">
        <v>3906</v>
      </c>
      <c r="I113" s="1" t="s">
        <v>3907</v>
      </c>
      <c r="J113" s="149" t="s">
        <v>3908</v>
      </c>
      <c r="K113" s="37" t="s">
        <v>3909</v>
      </c>
      <c r="L113" s="1" t="s">
        <v>3910</v>
      </c>
      <c r="M113" s="1" t="s">
        <v>3911</v>
      </c>
      <c r="N113" s="37" t="s">
        <v>3912</v>
      </c>
      <c r="O113" s="37" t="s">
        <v>3899</v>
      </c>
    </row>
    <row r="114" spans="1:15">
      <c r="A114" s="149" t="s">
        <v>3913</v>
      </c>
      <c r="B114" s="150" t="s">
        <v>3914</v>
      </c>
      <c r="C114" s="150" t="s">
        <v>3915</v>
      </c>
      <c r="D114" s="149" t="s">
        <v>3916</v>
      </c>
      <c r="E114" s="149" t="s">
        <v>3917</v>
      </c>
      <c r="F114" s="146" t="s">
        <v>3918</v>
      </c>
      <c r="G114" s="149" t="s">
        <v>3919</v>
      </c>
      <c r="H114" s="146" t="s">
        <v>3920</v>
      </c>
      <c r="I114" s="173" t="s">
        <v>3921</v>
      </c>
      <c r="J114" s="149" t="s">
        <v>3922</v>
      </c>
      <c r="K114" s="149" t="s">
        <v>3923</v>
      </c>
      <c r="L114" s="173" t="s">
        <v>3924</v>
      </c>
      <c r="M114" s="173" t="s">
        <v>3925</v>
      </c>
      <c r="N114" s="149" t="s">
        <v>3926</v>
      </c>
      <c r="O114" s="149" t="s">
        <v>3913</v>
      </c>
    </row>
    <row r="115" spans="1:15">
      <c r="A115" s="149" t="s">
        <v>3927</v>
      </c>
      <c r="B115" s="150" t="s">
        <v>3928</v>
      </c>
      <c r="C115" s="150" t="s">
        <v>3929</v>
      </c>
      <c r="D115" s="149" t="s">
        <v>3930</v>
      </c>
      <c r="E115" s="149" t="s">
        <v>3931</v>
      </c>
      <c r="F115" s="146" t="s">
        <v>3932</v>
      </c>
      <c r="G115" s="149" t="s">
        <v>3933</v>
      </c>
      <c r="H115" s="146" t="s">
        <v>3934</v>
      </c>
      <c r="I115" s="173" t="s">
        <v>3935</v>
      </c>
      <c r="J115" s="149" t="s">
        <v>3936</v>
      </c>
      <c r="K115" s="149" t="s">
        <v>3937</v>
      </c>
      <c r="L115" s="173" t="s">
        <v>3938</v>
      </c>
      <c r="M115" s="173" t="s">
        <v>3939</v>
      </c>
      <c r="N115" s="149" t="s">
        <v>3940</v>
      </c>
      <c r="O115" s="149" t="s">
        <v>3927</v>
      </c>
    </row>
    <row r="116" spans="1:15">
      <c r="A116" s="149" t="s">
        <v>3941</v>
      </c>
      <c r="B116" s="150" t="s">
        <v>3942</v>
      </c>
      <c r="C116" s="150" t="s">
        <v>3942</v>
      </c>
      <c r="D116" s="149" t="s">
        <v>3943</v>
      </c>
      <c r="E116" s="149" t="s">
        <v>3944</v>
      </c>
      <c r="F116" s="146" t="s">
        <v>3945</v>
      </c>
      <c r="G116" s="149" t="s">
        <v>3946</v>
      </c>
      <c r="H116" s="146" t="s">
        <v>3947</v>
      </c>
      <c r="I116" s="173" t="s">
        <v>3948</v>
      </c>
      <c r="J116" s="149" t="s">
        <v>3949</v>
      </c>
      <c r="K116" s="149" t="s">
        <v>3950</v>
      </c>
      <c r="L116" s="173" t="s">
        <v>3951</v>
      </c>
      <c r="M116" s="173" t="s">
        <v>3951</v>
      </c>
      <c r="N116" s="149" t="s">
        <v>3952</v>
      </c>
      <c r="O116" s="149" t="s">
        <v>3941</v>
      </c>
    </row>
    <row r="117" spans="1:15">
      <c r="A117" s="149" t="s">
        <v>3953</v>
      </c>
      <c r="B117" s="150" t="s">
        <v>3954</v>
      </c>
      <c r="C117" s="150" t="s">
        <v>3955</v>
      </c>
      <c r="D117" s="149" t="s">
        <v>3956</v>
      </c>
      <c r="E117" s="149" t="s">
        <v>3957</v>
      </c>
      <c r="F117" s="146" t="s">
        <v>3958</v>
      </c>
      <c r="G117" s="149" t="s">
        <v>3959</v>
      </c>
      <c r="H117" s="146" t="s">
        <v>3960</v>
      </c>
      <c r="I117" s="173" t="s">
        <v>3961</v>
      </c>
      <c r="J117" s="149" t="s">
        <v>3962</v>
      </c>
      <c r="K117" s="149" t="s">
        <v>3963</v>
      </c>
      <c r="L117" s="173" t="s">
        <v>3964</v>
      </c>
      <c r="M117" s="173" t="s">
        <v>3965</v>
      </c>
      <c r="N117" s="149" t="s">
        <v>3966</v>
      </c>
      <c r="O117" s="149" t="s">
        <v>3953</v>
      </c>
    </row>
    <row r="118" spans="1:15">
      <c r="A118" s="149" t="s">
        <v>3967</v>
      </c>
      <c r="B118" s="150" t="s">
        <v>3968</v>
      </c>
      <c r="C118" s="150" t="s">
        <v>3969</v>
      </c>
      <c r="D118" s="149" t="s">
        <v>3970</v>
      </c>
      <c r="E118" s="149" t="s">
        <v>3971</v>
      </c>
      <c r="F118" s="146" t="s">
        <v>3972</v>
      </c>
      <c r="G118" s="150" t="s">
        <v>3973</v>
      </c>
      <c r="H118" s="146" t="s">
        <v>3974</v>
      </c>
      <c r="I118" s="173" t="s">
        <v>3975</v>
      </c>
      <c r="J118" s="149" t="s">
        <v>3976</v>
      </c>
      <c r="K118" s="149" t="s">
        <v>3977</v>
      </c>
      <c r="L118" s="173" t="s">
        <v>3978</v>
      </c>
      <c r="M118" s="173" t="s">
        <v>3979</v>
      </c>
      <c r="N118" s="149" t="s">
        <v>3980</v>
      </c>
      <c r="O118" s="149" t="s">
        <v>3967</v>
      </c>
    </row>
    <row r="119" spans="1:15">
      <c r="A119" s="149" t="s">
        <v>3981</v>
      </c>
      <c r="B119" s="150" t="s">
        <v>3982</v>
      </c>
      <c r="C119" s="150" t="s">
        <v>3983</v>
      </c>
      <c r="D119" s="149" t="s">
        <v>3984</v>
      </c>
      <c r="E119" s="149" t="s">
        <v>3985</v>
      </c>
      <c r="F119" s="146" t="s">
        <v>3986</v>
      </c>
      <c r="G119" s="150" t="s">
        <v>3987</v>
      </c>
      <c r="H119" s="146" t="s">
        <v>3988</v>
      </c>
      <c r="I119" s="173" t="s">
        <v>3989</v>
      </c>
      <c r="J119" s="149" t="s">
        <v>3990</v>
      </c>
      <c r="K119" s="149" t="s">
        <v>3991</v>
      </c>
      <c r="L119" s="173" t="s">
        <v>3992</v>
      </c>
      <c r="M119" s="173" t="s">
        <v>3993</v>
      </c>
      <c r="N119" s="149" t="s">
        <v>3994</v>
      </c>
      <c r="O119" s="149" t="s">
        <v>3981</v>
      </c>
    </row>
    <row r="120" spans="1:15">
      <c r="A120" s="149" t="s">
        <v>3995</v>
      </c>
      <c r="B120" s="150" t="s">
        <v>3996</v>
      </c>
      <c r="C120" s="150" t="s">
        <v>3997</v>
      </c>
      <c r="D120" s="149" t="s">
        <v>3998</v>
      </c>
      <c r="E120" s="149" t="s">
        <v>3999</v>
      </c>
      <c r="F120" s="146" t="s">
        <v>4000</v>
      </c>
      <c r="G120" s="149" t="s">
        <v>4001</v>
      </c>
      <c r="H120" s="146" t="s">
        <v>4002</v>
      </c>
      <c r="I120" s="173" t="s">
        <v>4003</v>
      </c>
      <c r="J120" s="149" t="s">
        <v>4004</v>
      </c>
      <c r="K120" s="149" t="s">
        <v>4005</v>
      </c>
      <c r="L120" s="173" t="s">
        <v>4006</v>
      </c>
      <c r="M120" s="173" t="s">
        <v>4007</v>
      </c>
      <c r="N120" s="149" t="s">
        <v>4008</v>
      </c>
      <c r="O120" s="149" t="s">
        <v>3995</v>
      </c>
    </row>
    <row r="121" spans="1:15">
      <c r="A121" s="37" t="s">
        <v>4009</v>
      </c>
      <c r="B121" s="146" t="s">
        <v>4010</v>
      </c>
      <c r="C121" s="146" t="s">
        <v>4011</v>
      </c>
      <c r="D121" s="146" t="s">
        <v>4012</v>
      </c>
      <c r="E121" s="146" t="s">
        <v>4013</v>
      </c>
      <c r="F121" s="146" t="s">
        <v>4014</v>
      </c>
      <c r="G121" s="149" t="s">
        <v>4015</v>
      </c>
      <c r="H121" s="146" t="s">
        <v>4016</v>
      </c>
      <c r="I121" s="1" t="s">
        <v>4017</v>
      </c>
      <c r="J121" s="149" t="s">
        <v>4018</v>
      </c>
      <c r="K121" s="37" t="s">
        <v>4019</v>
      </c>
      <c r="L121" s="1" t="s">
        <v>4020</v>
      </c>
      <c r="M121" s="1" t="s">
        <v>4021</v>
      </c>
      <c r="N121" s="37" t="s">
        <v>4022</v>
      </c>
      <c r="O121" s="37" t="s">
        <v>4009</v>
      </c>
    </row>
    <row r="122" spans="1:15">
      <c r="A122" s="37" t="s">
        <v>4023</v>
      </c>
      <c r="B122" s="146" t="s">
        <v>4024</v>
      </c>
      <c r="C122" s="146" t="s">
        <v>4025</v>
      </c>
      <c r="D122" s="146" t="s">
        <v>4026</v>
      </c>
      <c r="E122" s="146" t="s">
        <v>4027</v>
      </c>
      <c r="F122" s="146" t="s">
        <v>4028</v>
      </c>
      <c r="G122" s="149" t="s">
        <v>4029</v>
      </c>
      <c r="H122" s="146" t="s">
        <v>4030</v>
      </c>
      <c r="I122" s="1" t="s">
        <v>4031</v>
      </c>
      <c r="J122" s="149" t="s">
        <v>4032</v>
      </c>
      <c r="K122" s="37" t="s">
        <v>4033</v>
      </c>
      <c r="L122" s="1" t="s">
        <v>4034</v>
      </c>
      <c r="M122" s="1" t="s">
        <v>4035</v>
      </c>
      <c r="N122" s="37" t="s">
        <v>4036</v>
      </c>
      <c r="O122" s="37" t="s">
        <v>4023</v>
      </c>
    </row>
    <row r="123" spans="1:15">
      <c r="A123" s="37" t="s">
        <v>4037</v>
      </c>
      <c r="B123" s="146" t="s">
        <v>4038</v>
      </c>
      <c r="C123" s="146" t="s">
        <v>4039</v>
      </c>
      <c r="D123" s="146" t="s">
        <v>4040</v>
      </c>
      <c r="E123" s="146" t="s">
        <v>4041</v>
      </c>
      <c r="F123" s="146" t="s">
        <v>4042</v>
      </c>
      <c r="G123" s="149" t="s">
        <v>4043</v>
      </c>
      <c r="H123" s="146" t="s">
        <v>4044</v>
      </c>
      <c r="I123" s="1" t="s">
        <v>4045</v>
      </c>
      <c r="J123" s="149" t="s">
        <v>4046</v>
      </c>
      <c r="K123" s="37" t="s">
        <v>4047</v>
      </c>
      <c r="L123" s="1" t="s">
        <v>4048</v>
      </c>
      <c r="M123" s="1" t="s">
        <v>4049</v>
      </c>
      <c r="N123" s="37" t="s">
        <v>4050</v>
      </c>
      <c r="O123" s="37" t="s">
        <v>4037</v>
      </c>
    </row>
    <row r="124" spans="1:15">
      <c r="A124" s="37" t="s">
        <v>4051</v>
      </c>
      <c r="B124" s="146" t="s">
        <v>4052</v>
      </c>
      <c r="C124" s="146" t="s">
        <v>4053</v>
      </c>
      <c r="D124" s="146" t="s">
        <v>4054</v>
      </c>
      <c r="E124" s="146" t="s">
        <v>4055</v>
      </c>
      <c r="F124" s="146" t="s">
        <v>4056</v>
      </c>
      <c r="G124" s="149" t="s">
        <v>4057</v>
      </c>
      <c r="H124" s="146" t="s">
        <v>4058</v>
      </c>
      <c r="I124" s="1" t="s">
        <v>4059</v>
      </c>
      <c r="J124" s="149" t="s">
        <v>4060</v>
      </c>
      <c r="K124" s="37" t="s">
        <v>4061</v>
      </c>
      <c r="L124" s="1" t="s">
        <v>4062</v>
      </c>
      <c r="M124" s="1" t="s">
        <v>4063</v>
      </c>
      <c r="N124" s="37" t="s">
        <v>4064</v>
      </c>
      <c r="O124" s="37" t="s">
        <v>4051</v>
      </c>
    </row>
    <row r="125" spans="1:15">
      <c r="A125" s="37" t="s">
        <v>4065</v>
      </c>
      <c r="B125" s="146" t="s">
        <v>4066</v>
      </c>
      <c r="C125" s="146" t="s">
        <v>4067</v>
      </c>
      <c r="D125" s="146" t="s">
        <v>4068</v>
      </c>
      <c r="E125" s="146" t="s">
        <v>4069</v>
      </c>
      <c r="F125" s="146" t="s">
        <v>4070</v>
      </c>
      <c r="G125" s="149" t="s">
        <v>4071</v>
      </c>
      <c r="H125" s="146" t="s">
        <v>4072</v>
      </c>
      <c r="I125" s="1" t="s">
        <v>4073</v>
      </c>
      <c r="J125" s="149" t="s">
        <v>4074</v>
      </c>
      <c r="K125" s="37" t="s">
        <v>4075</v>
      </c>
      <c r="L125" s="1" t="s">
        <v>4076</v>
      </c>
      <c r="M125" s="1" t="s">
        <v>4077</v>
      </c>
      <c r="N125" s="37" t="s">
        <v>4078</v>
      </c>
      <c r="O125" s="37" t="s">
        <v>4065</v>
      </c>
    </row>
    <row r="126" spans="1:15">
      <c r="A126" s="37" t="s">
        <v>4079</v>
      </c>
      <c r="B126" s="146" t="s">
        <v>4080</v>
      </c>
      <c r="C126" s="146" t="s">
        <v>4081</v>
      </c>
      <c r="D126" s="146" t="s">
        <v>4082</v>
      </c>
      <c r="E126" s="146" t="s">
        <v>4083</v>
      </c>
      <c r="F126" s="146" t="s">
        <v>4084</v>
      </c>
      <c r="G126" s="149" t="s">
        <v>4085</v>
      </c>
      <c r="H126" s="146" t="s">
        <v>4086</v>
      </c>
      <c r="I126" s="1" t="s">
        <v>4087</v>
      </c>
      <c r="J126" s="149" t="s">
        <v>4088</v>
      </c>
      <c r="K126" s="37" t="s">
        <v>4089</v>
      </c>
      <c r="L126" s="1" t="s">
        <v>4090</v>
      </c>
      <c r="M126" s="1" t="s">
        <v>4091</v>
      </c>
      <c r="N126" s="37" t="s">
        <v>4092</v>
      </c>
      <c r="O126" s="37" t="s">
        <v>4079</v>
      </c>
    </row>
    <row r="127" spans="1:15">
      <c r="A127" s="37" t="s">
        <v>4093</v>
      </c>
      <c r="B127" s="146" t="s">
        <v>4094</v>
      </c>
      <c r="C127" s="146" t="s">
        <v>4095</v>
      </c>
      <c r="D127" s="146" t="s">
        <v>4096</v>
      </c>
      <c r="E127" s="146" t="s">
        <v>4097</v>
      </c>
      <c r="F127" s="146" t="s">
        <v>4098</v>
      </c>
      <c r="G127" s="149" t="s">
        <v>4099</v>
      </c>
      <c r="H127" s="146" t="s">
        <v>4100</v>
      </c>
      <c r="I127" s="1" t="s">
        <v>4101</v>
      </c>
      <c r="J127" s="149" t="s">
        <v>4102</v>
      </c>
      <c r="K127" s="37" t="s">
        <v>4103</v>
      </c>
      <c r="L127" s="1" t="s">
        <v>4104</v>
      </c>
      <c r="M127" s="1" t="s">
        <v>4105</v>
      </c>
      <c r="N127" s="37" t="s">
        <v>4106</v>
      </c>
      <c r="O127" s="37" t="s">
        <v>4093</v>
      </c>
    </row>
    <row r="128" spans="1:15">
      <c r="A128" s="37" t="s">
        <v>4107</v>
      </c>
      <c r="B128" s="146" t="s">
        <v>4108</v>
      </c>
      <c r="C128" s="146" t="s">
        <v>4109</v>
      </c>
      <c r="D128" s="146" t="s">
        <v>4110</v>
      </c>
      <c r="E128" s="146" t="s">
        <v>4111</v>
      </c>
      <c r="F128" s="146" t="s">
        <v>4112</v>
      </c>
      <c r="G128" s="149" t="s">
        <v>4113</v>
      </c>
      <c r="H128" s="146" t="s">
        <v>4114</v>
      </c>
      <c r="I128" s="1" t="s">
        <v>4115</v>
      </c>
      <c r="J128" s="149" t="s">
        <v>4116</v>
      </c>
      <c r="K128" s="37" t="s">
        <v>4117</v>
      </c>
      <c r="L128" s="1" t="s">
        <v>4118</v>
      </c>
      <c r="M128" s="1" t="s">
        <v>4119</v>
      </c>
      <c r="N128" s="37" t="s">
        <v>4120</v>
      </c>
      <c r="O128" s="37" t="s">
        <v>4107</v>
      </c>
    </row>
    <row r="129" spans="1:15">
      <c r="A129" s="37" t="s">
        <v>4121</v>
      </c>
      <c r="B129" s="146" t="s">
        <v>4122</v>
      </c>
      <c r="C129" s="146" t="s">
        <v>4123</v>
      </c>
      <c r="D129" s="146" t="s">
        <v>4124</v>
      </c>
      <c r="E129" s="146" t="s">
        <v>4125</v>
      </c>
      <c r="F129" s="146" t="s">
        <v>4126</v>
      </c>
      <c r="G129" s="149" t="s">
        <v>4127</v>
      </c>
      <c r="H129" s="146" t="s">
        <v>4128</v>
      </c>
      <c r="I129" s="1" t="s">
        <v>4129</v>
      </c>
      <c r="J129" s="149" t="s">
        <v>4130</v>
      </c>
      <c r="K129" s="37" t="s">
        <v>4131</v>
      </c>
      <c r="L129" s="1" t="s">
        <v>4132</v>
      </c>
      <c r="M129" s="1" t="s">
        <v>4133</v>
      </c>
      <c r="N129" s="37" t="s">
        <v>4134</v>
      </c>
      <c r="O129" s="37" t="s">
        <v>4121</v>
      </c>
    </row>
    <row r="130" spans="1:15">
      <c r="A130" s="37" t="s">
        <v>4135</v>
      </c>
      <c r="B130" s="146" t="s">
        <v>4136</v>
      </c>
      <c r="C130" s="146" t="s">
        <v>4137</v>
      </c>
      <c r="D130" s="146" t="s">
        <v>4138</v>
      </c>
      <c r="E130" s="146" t="s">
        <v>4139</v>
      </c>
      <c r="F130" s="146" t="s">
        <v>4140</v>
      </c>
      <c r="G130" s="149" t="s">
        <v>4141</v>
      </c>
      <c r="H130" s="146" t="s">
        <v>4142</v>
      </c>
      <c r="I130" s="1" t="s">
        <v>4143</v>
      </c>
      <c r="J130" s="149" t="s">
        <v>4144</v>
      </c>
      <c r="K130" s="37" t="s">
        <v>4145</v>
      </c>
      <c r="L130" s="1" t="s">
        <v>4146</v>
      </c>
      <c r="M130" s="1" t="s">
        <v>4147</v>
      </c>
      <c r="N130" s="37" t="s">
        <v>4148</v>
      </c>
      <c r="O130" s="37" t="s">
        <v>4135</v>
      </c>
    </row>
    <row r="131" spans="1:15">
      <c r="A131" s="37" t="s">
        <v>4149</v>
      </c>
      <c r="B131" s="146" t="s">
        <v>4150</v>
      </c>
      <c r="C131" s="146" t="s">
        <v>4151</v>
      </c>
      <c r="D131" s="146" t="s">
        <v>4152</v>
      </c>
      <c r="E131" s="146" t="s">
        <v>4153</v>
      </c>
      <c r="F131" s="146" t="s">
        <v>4154</v>
      </c>
      <c r="G131" s="149" t="s">
        <v>4155</v>
      </c>
      <c r="H131" s="146" t="s">
        <v>4156</v>
      </c>
      <c r="I131" s="1" t="s">
        <v>4157</v>
      </c>
      <c r="J131" s="149" t="s">
        <v>4158</v>
      </c>
      <c r="K131" s="37" t="s">
        <v>4159</v>
      </c>
      <c r="L131" s="1" t="s">
        <v>4160</v>
      </c>
      <c r="M131" s="1" t="s">
        <v>4161</v>
      </c>
      <c r="N131" s="37" t="s">
        <v>4162</v>
      </c>
      <c r="O131" s="37" t="s">
        <v>4149</v>
      </c>
    </row>
    <row r="132" spans="1:15">
      <c r="A132" s="37" t="s">
        <v>4163</v>
      </c>
      <c r="B132" s="146" t="s">
        <v>4164</v>
      </c>
      <c r="C132" s="146" t="s">
        <v>4165</v>
      </c>
      <c r="D132" s="146" t="s">
        <v>4166</v>
      </c>
      <c r="E132" s="146" t="s">
        <v>4167</v>
      </c>
      <c r="F132" s="146" t="s">
        <v>4168</v>
      </c>
      <c r="G132" s="149" t="s">
        <v>4169</v>
      </c>
      <c r="H132" s="146" t="s">
        <v>4170</v>
      </c>
      <c r="I132" s="1" t="s">
        <v>4171</v>
      </c>
      <c r="J132" s="149" t="s">
        <v>4172</v>
      </c>
      <c r="K132" s="37" t="s">
        <v>4173</v>
      </c>
      <c r="L132" s="1" t="s">
        <v>4174</v>
      </c>
      <c r="M132" s="1" t="s">
        <v>4175</v>
      </c>
      <c r="N132" s="37" t="s">
        <v>4176</v>
      </c>
      <c r="O132" s="37" t="s">
        <v>4163</v>
      </c>
    </row>
    <row r="133" spans="1:15">
      <c r="A133" s="37" t="s">
        <v>4177</v>
      </c>
      <c r="B133" s="146" t="s">
        <v>4178</v>
      </c>
      <c r="C133" s="146" t="s">
        <v>4179</v>
      </c>
      <c r="D133" s="146" t="s">
        <v>4180</v>
      </c>
      <c r="E133" s="146" t="s">
        <v>4181</v>
      </c>
      <c r="F133" s="146" t="s">
        <v>4182</v>
      </c>
      <c r="G133" s="149" t="s">
        <v>4183</v>
      </c>
      <c r="H133" s="146" t="s">
        <v>4184</v>
      </c>
      <c r="I133" s="1" t="s">
        <v>4185</v>
      </c>
      <c r="J133" s="149" t="s">
        <v>4186</v>
      </c>
      <c r="K133" s="37" t="s">
        <v>4187</v>
      </c>
      <c r="L133" s="1" t="s">
        <v>4188</v>
      </c>
      <c r="M133" s="1" t="s">
        <v>4189</v>
      </c>
      <c r="N133" s="37" t="s">
        <v>4190</v>
      </c>
      <c r="O133" s="37" t="s">
        <v>4177</v>
      </c>
    </row>
    <row r="134" spans="1:15">
      <c r="A134" s="37" t="s">
        <v>4191</v>
      </c>
      <c r="B134" s="146" t="s">
        <v>4192</v>
      </c>
      <c r="C134" s="146" t="s">
        <v>4193</v>
      </c>
      <c r="D134" s="146" t="s">
        <v>4194</v>
      </c>
      <c r="E134" s="146" t="s">
        <v>4195</v>
      </c>
      <c r="F134" s="146" t="s">
        <v>4196</v>
      </c>
      <c r="G134" s="149" t="s">
        <v>4197</v>
      </c>
      <c r="H134" s="146" t="s">
        <v>4198</v>
      </c>
      <c r="I134" s="1" t="s">
        <v>4199</v>
      </c>
      <c r="J134" s="149" t="s">
        <v>4144</v>
      </c>
      <c r="K134" s="37" t="s">
        <v>4200</v>
      </c>
      <c r="L134" s="1" t="s">
        <v>4201</v>
      </c>
      <c r="M134" s="1" t="s">
        <v>4202</v>
      </c>
      <c r="N134" s="37" t="s">
        <v>4203</v>
      </c>
      <c r="O134" s="37" t="s">
        <v>4191</v>
      </c>
    </row>
    <row r="135" spans="1:15">
      <c r="A135" s="37" t="s">
        <v>4204</v>
      </c>
      <c r="B135" s="146" t="s">
        <v>4205</v>
      </c>
      <c r="C135" s="146" t="s">
        <v>4206</v>
      </c>
      <c r="D135" s="146" t="s">
        <v>4207</v>
      </c>
      <c r="E135" s="146" t="s">
        <v>4208</v>
      </c>
      <c r="F135" s="146" t="s">
        <v>4209</v>
      </c>
      <c r="G135" s="149" t="s">
        <v>4210</v>
      </c>
      <c r="H135" s="146" t="s">
        <v>4211</v>
      </c>
      <c r="I135" s="1" t="s">
        <v>4212</v>
      </c>
      <c r="J135" s="149" t="s">
        <v>4213</v>
      </c>
      <c r="K135" s="37" t="s">
        <v>4214</v>
      </c>
      <c r="L135" s="1" t="s">
        <v>4215</v>
      </c>
      <c r="M135" s="1" t="s">
        <v>4216</v>
      </c>
      <c r="N135" s="37" t="s">
        <v>4217</v>
      </c>
      <c r="O135" s="37" t="s">
        <v>4204</v>
      </c>
    </row>
    <row r="136" spans="1:15">
      <c r="A136" s="37" t="s">
        <v>4218</v>
      </c>
      <c r="B136" s="146" t="s">
        <v>4219</v>
      </c>
      <c r="C136" s="146" t="s">
        <v>4220</v>
      </c>
      <c r="D136" s="146" t="s">
        <v>4221</v>
      </c>
      <c r="E136" s="146" t="s">
        <v>4222</v>
      </c>
      <c r="F136" s="146" t="s">
        <v>4223</v>
      </c>
      <c r="G136" s="149" t="s">
        <v>4224</v>
      </c>
      <c r="H136" s="146" t="s">
        <v>4225</v>
      </c>
      <c r="I136" s="1" t="s">
        <v>4226</v>
      </c>
      <c r="J136" s="149" t="s">
        <v>4227</v>
      </c>
      <c r="K136" s="37" t="s">
        <v>4228</v>
      </c>
      <c r="L136" s="1" t="s">
        <v>4229</v>
      </c>
      <c r="M136" s="1" t="s">
        <v>4230</v>
      </c>
      <c r="N136" s="37" t="s">
        <v>4231</v>
      </c>
      <c r="O136" s="37" t="s">
        <v>4218</v>
      </c>
    </row>
    <row r="137" spans="1:15">
      <c r="A137" s="37" t="s">
        <v>4232</v>
      </c>
      <c r="B137" s="146" t="s">
        <v>4233</v>
      </c>
      <c r="C137" s="146" t="s">
        <v>4234</v>
      </c>
      <c r="D137" s="146" t="s">
        <v>4235</v>
      </c>
      <c r="E137" s="146" t="s">
        <v>4236</v>
      </c>
      <c r="F137" s="146" t="s">
        <v>4237</v>
      </c>
      <c r="G137" s="149" t="s">
        <v>4238</v>
      </c>
      <c r="H137" s="146" t="s">
        <v>4239</v>
      </c>
      <c r="I137" s="1" t="s">
        <v>4240</v>
      </c>
      <c r="J137" s="149" t="s">
        <v>4241</v>
      </c>
      <c r="K137" s="37" t="s">
        <v>4242</v>
      </c>
      <c r="L137" s="1" t="s">
        <v>4243</v>
      </c>
      <c r="M137" s="1" t="s">
        <v>4244</v>
      </c>
      <c r="N137" s="37" t="s">
        <v>4245</v>
      </c>
      <c r="O137" s="37" t="s">
        <v>4232</v>
      </c>
    </row>
    <row r="138" spans="1:15">
      <c r="A138" s="37" t="s">
        <v>4246</v>
      </c>
      <c r="B138" s="146" t="s">
        <v>4247</v>
      </c>
      <c r="C138" s="146" t="s">
        <v>4248</v>
      </c>
      <c r="D138" s="146" t="s">
        <v>4249</v>
      </c>
      <c r="E138" s="146" t="s">
        <v>4250</v>
      </c>
      <c r="F138" s="146" t="s">
        <v>4251</v>
      </c>
      <c r="G138" s="149" t="s">
        <v>4252</v>
      </c>
      <c r="H138" s="146" t="s">
        <v>4253</v>
      </c>
      <c r="I138" s="1" t="s">
        <v>4254</v>
      </c>
      <c r="J138" s="149" t="s">
        <v>4255</v>
      </c>
      <c r="K138" s="37" t="s">
        <v>4256</v>
      </c>
      <c r="L138" s="1" t="s">
        <v>4257</v>
      </c>
      <c r="M138" s="1" t="s">
        <v>4258</v>
      </c>
      <c r="N138" s="37" t="s">
        <v>4259</v>
      </c>
      <c r="O138" s="37" t="s">
        <v>4246</v>
      </c>
    </row>
    <row r="139" spans="1:15">
      <c r="A139" s="37" t="s">
        <v>4260</v>
      </c>
      <c r="B139" s="146" t="s">
        <v>4261</v>
      </c>
      <c r="C139" s="146" t="s">
        <v>4262</v>
      </c>
      <c r="D139" s="146" t="s">
        <v>4263</v>
      </c>
      <c r="E139" s="146" t="s">
        <v>4264</v>
      </c>
      <c r="F139" s="146" t="s">
        <v>4265</v>
      </c>
      <c r="G139" s="149" t="s">
        <v>4266</v>
      </c>
      <c r="H139" s="146" t="s">
        <v>4267</v>
      </c>
      <c r="I139" s="1" t="s">
        <v>4268</v>
      </c>
      <c r="J139" s="149" t="s">
        <v>4269</v>
      </c>
      <c r="K139" s="37" t="s">
        <v>4270</v>
      </c>
      <c r="L139" s="1" t="s">
        <v>4271</v>
      </c>
      <c r="M139" s="1" t="s">
        <v>4272</v>
      </c>
      <c r="N139" s="37" t="s">
        <v>4273</v>
      </c>
      <c r="O139" s="37" t="s">
        <v>4260</v>
      </c>
    </row>
    <row r="140" spans="1:15">
      <c r="A140" s="37" t="s">
        <v>4274</v>
      </c>
      <c r="B140" s="146" t="s">
        <v>4275</v>
      </c>
      <c r="C140" s="146" t="s">
        <v>4276</v>
      </c>
      <c r="D140" s="146" t="s">
        <v>4277</v>
      </c>
      <c r="E140" s="146" t="s">
        <v>4278</v>
      </c>
      <c r="F140" s="146" t="s">
        <v>4279</v>
      </c>
      <c r="G140" s="149" t="s">
        <v>4280</v>
      </c>
      <c r="H140" s="146" t="s">
        <v>4281</v>
      </c>
      <c r="I140" s="1" t="s">
        <v>4282</v>
      </c>
      <c r="J140" s="149" t="s">
        <v>4283</v>
      </c>
      <c r="K140" s="37" t="s">
        <v>4284</v>
      </c>
      <c r="L140" s="1" t="s">
        <v>4285</v>
      </c>
      <c r="M140" s="1" t="s">
        <v>4286</v>
      </c>
      <c r="N140" s="37" t="s">
        <v>4287</v>
      </c>
      <c r="O140" s="37" t="s">
        <v>4274</v>
      </c>
    </row>
    <row r="141" spans="1:15">
      <c r="A141" s="37" t="s">
        <v>4288</v>
      </c>
      <c r="B141" s="146" t="s">
        <v>4289</v>
      </c>
      <c r="C141" s="146" t="s">
        <v>4290</v>
      </c>
      <c r="D141" s="146" t="s">
        <v>4291</v>
      </c>
      <c r="E141" s="146" t="s">
        <v>4292</v>
      </c>
      <c r="F141" s="146" t="s">
        <v>4293</v>
      </c>
      <c r="G141" s="149" t="s">
        <v>4294</v>
      </c>
      <c r="H141" s="146" t="s">
        <v>4295</v>
      </c>
      <c r="I141" s="1" t="s">
        <v>4296</v>
      </c>
      <c r="J141" s="149" t="s">
        <v>4297</v>
      </c>
      <c r="K141" s="37" t="s">
        <v>4298</v>
      </c>
      <c r="L141" s="1" t="s">
        <v>4299</v>
      </c>
      <c r="M141" s="1" t="s">
        <v>4300</v>
      </c>
      <c r="N141" s="37" t="s">
        <v>4301</v>
      </c>
      <c r="O141" s="37" t="s">
        <v>4288</v>
      </c>
    </row>
    <row r="142" spans="1:15">
      <c r="A142" s="37" t="s">
        <v>4302</v>
      </c>
      <c r="B142" s="146" t="s">
        <v>4303</v>
      </c>
      <c r="C142" s="146" t="s">
        <v>4304</v>
      </c>
      <c r="D142" s="146" t="s">
        <v>4305</v>
      </c>
      <c r="E142" s="146" t="s">
        <v>4306</v>
      </c>
      <c r="F142" s="146" t="s">
        <v>4307</v>
      </c>
      <c r="G142" s="149" t="s">
        <v>4308</v>
      </c>
      <c r="H142" s="146" t="s">
        <v>4309</v>
      </c>
      <c r="I142" s="1" t="s">
        <v>4310</v>
      </c>
      <c r="J142" s="149" t="s">
        <v>4311</v>
      </c>
      <c r="K142" s="37" t="s">
        <v>4312</v>
      </c>
      <c r="L142" s="1" t="s">
        <v>4313</v>
      </c>
      <c r="M142" s="1" t="s">
        <v>4314</v>
      </c>
      <c r="N142" s="37" t="s">
        <v>4315</v>
      </c>
      <c r="O142" s="37" t="s">
        <v>4302</v>
      </c>
    </row>
    <row r="143" spans="1:15">
      <c r="A143" s="37" t="s">
        <v>4316</v>
      </c>
      <c r="B143" s="146" t="s">
        <v>4317</v>
      </c>
      <c r="C143" s="146" t="s">
        <v>4318</v>
      </c>
      <c r="D143" s="146" t="s">
        <v>4319</v>
      </c>
      <c r="E143" s="146" t="s">
        <v>4320</v>
      </c>
      <c r="F143" s="146" t="s">
        <v>4321</v>
      </c>
      <c r="G143" s="149" t="s">
        <v>4322</v>
      </c>
      <c r="H143" s="146" t="s">
        <v>4323</v>
      </c>
      <c r="I143" s="1" t="s">
        <v>4324</v>
      </c>
      <c r="J143" s="149" t="s">
        <v>4325</v>
      </c>
      <c r="K143" s="37" t="s">
        <v>4326</v>
      </c>
      <c r="L143" s="1" t="s">
        <v>4327</v>
      </c>
      <c r="M143" s="1" t="s">
        <v>4328</v>
      </c>
      <c r="N143" s="37" t="s">
        <v>4329</v>
      </c>
      <c r="O143" s="37" t="s">
        <v>4316</v>
      </c>
    </row>
    <row r="144" spans="1:15">
      <c r="A144" s="37" t="s">
        <v>4330</v>
      </c>
      <c r="B144" s="146" t="s">
        <v>4331</v>
      </c>
      <c r="C144" s="146" t="s">
        <v>4332</v>
      </c>
      <c r="D144" s="146" t="s">
        <v>4333</v>
      </c>
      <c r="E144" s="146" t="s">
        <v>4334</v>
      </c>
      <c r="F144" s="146" t="s">
        <v>4335</v>
      </c>
      <c r="G144" s="149" t="s">
        <v>4336</v>
      </c>
      <c r="H144" s="146" t="s">
        <v>4337</v>
      </c>
      <c r="I144" s="1" t="s">
        <v>4338</v>
      </c>
      <c r="J144" s="149" t="s">
        <v>4339</v>
      </c>
      <c r="K144" s="37" t="s">
        <v>4340</v>
      </c>
      <c r="L144" s="1" t="s">
        <v>4341</v>
      </c>
      <c r="M144" s="1" t="s">
        <v>4342</v>
      </c>
      <c r="N144" s="37" t="s">
        <v>4343</v>
      </c>
      <c r="O144" s="37" t="s">
        <v>4330</v>
      </c>
    </row>
    <row r="145" spans="1:15">
      <c r="A145" s="37" t="s">
        <v>4344</v>
      </c>
      <c r="B145" s="146" t="s">
        <v>4345</v>
      </c>
      <c r="C145" s="146" t="s">
        <v>4346</v>
      </c>
      <c r="D145" s="146" t="s">
        <v>4347</v>
      </c>
      <c r="E145" s="146" t="s">
        <v>4348</v>
      </c>
      <c r="F145" s="146" t="s">
        <v>4349</v>
      </c>
      <c r="G145" s="149" t="s">
        <v>4350</v>
      </c>
      <c r="H145" s="146" t="s">
        <v>4351</v>
      </c>
      <c r="I145" s="1" t="s">
        <v>4352</v>
      </c>
      <c r="J145" s="149" t="s">
        <v>4353</v>
      </c>
      <c r="K145" s="37" t="s">
        <v>4354</v>
      </c>
      <c r="L145" s="1" t="s">
        <v>4355</v>
      </c>
      <c r="M145" s="1" t="s">
        <v>4356</v>
      </c>
      <c r="N145" s="37" t="s">
        <v>4357</v>
      </c>
      <c r="O145" s="37" t="s">
        <v>4344</v>
      </c>
    </row>
    <row r="146" spans="1:15">
      <c r="A146" s="37" t="s">
        <v>4358</v>
      </c>
      <c r="B146" s="146" t="s">
        <v>4359</v>
      </c>
      <c r="C146" s="146" t="s">
        <v>4360</v>
      </c>
      <c r="D146" s="146" t="s">
        <v>4361</v>
      </c>
      <c r="E146" s="146" t="s">
        <v>4358</v>
      </c>
      <c r="F146" s="146" t="s">
        <v>4362</v>
      </c>
      <c r="G146" s="149" t="s">
        <v>4363</v>
      </c>
      <c r="H146" s="146" t="s">
        <v>4364</v>
      </c>
      <c r="I146" s="1" t="s">
        <v>4365</v>
      </c>
      <c r="J146" s="149" t="s">
        <v>4366</v>
      </c>
      <c r="K146" s="37" t="s">
        <v>4367</v>
      </c>
      <c r="L146" s="1" t="s">
        <v>4368</v>
      </c>
      <c r="M146" s="1" t="s">
        <v>4368</v>
      </c>
      <c r="N146" s="37" t="s">
        <v>4369</v>
      </c>
      <c r="O146" s="37" t="s">
        <v>4358</v>
      </c>
    </row>
    <row r="147" spans="1:15">
      <c r="A147" s="37" t="s">
        <v>4370</v>
      </c>
      <c r="B147" s="146" t="s">
        <v>4371</v>
      </c>
      <c r="C147" s="146" t="s">
        <v>4372</v>
      </c>
      <c r="D147" s="146" t="s">
        <v>4373</v>
      </c>
      <c r="E147" s="146" t="s">
        <v>4370</v>
      </c>
      <c r="F147" s="146" t="s">
        <v>4374</v>
      </c>
      <c r="G147" s="149" t="s">
        <v>4375</v>
      </c>
      <c r="H147" s="146" t="s">
        <v>4376</v>
      </c>
      <c r="I147" s="1" t="s">
        <v>4377</v>
      </c>
      <c r="J147" s="149" t="s">
        <v>4378</v>
      </c>
      <c r="K147" s="37" t="s">
        <v>4379</v>
      </c>
      <c r="L147" s="1" t="s">
        <v>4380</v>
      </c>
      <c r="M147" s="1" t="s">
        <v>4381</v>
      </c>
      <c r="N147" s="37" t="s">
        <v>4382</v>
      </c>
      <c r="O147" s="37" t="s">
        <v>4370</v>
      </c>
    </row>
    <row r="148" spans="1:15" ht="28.8">
      <c r="A148" s="154" t="s">
        <v>4383</v>
      </c>
      <c r="B148" s="148" t="s">
        <v>4384</v>
      </c>
      <c r="C148" s="146" t="s">
        <v>4385</v>
      </c>
      <c r="D148" s="146" t="s">
        <v>4386</v>
      </c>
      <c r="E148" s="148" t="s">
        <v>4387</v>
      </c>
      <c r="F148" s="146" t="s">
        <v>4388</v>
      </c>
      <c r="G148" s="149" t="s">
        <v>4389</v>
      </c>
      <c r="H148" s="148" t="s">
        <v>4390</v>
      </c>
      <c r="I148" s="81" t="s">
        <v>4391</v>
      </c>
      <c r="J148" s="149" t="s">
        <v>4392</v>
      </c>
      <c r="K148" s="154" t="s">
        <v>4393</v>
      </c>
      <c r="L148" s="81" t="s">
        <v>4394</v>
      </c>
      <c r="M148" s="81" t="s">
        <v>4395</v>
      </c>
      <c r="N148" s="154" t="s">
        <v>4396</v>
      </c>
      <c r="O148" s="154" t="s">
        <v>4383</v>
      </c>
    </row>
    <row r="149" spans="1:15">
      <c r="A149" s="146" t="s">
        <v>4397</v>
      </c>
      <c r="B149" s="146" t="s">
        <v>4398</v>
      </c>
      <c r="C149" s="146" t="s">
        <v>4399</v>
      </c>
      <c r="D149" s="146" t="s">
        <v>4400</v>
      </c>
      <c r="E149" s="146" t="s">
        <v>4401</v>
      </c>
      <c r="F149" s="146" t="s">
        <v>4402</v>
      </c>
      <c r="G149" s="149" t="s">
        <v>4403</v>
      </c>
      <c r="H149" s="146" t="s">
        <v>4404</v>
      </c>
      <c r="I149" t="s">
        <v>4405</v>
      </c>
      <c r="J149" s="149" t="s">
        <v>4406</v>
      </c>
      <c r="K149" s="146" t="s">
        <v>4407</v>
      </c>
      <c r="L149" t="s">
        <v>4408</v>
      </c>
      <c r="M149" t="s">
        <v>4409</v>
      </c>
      <c r="N149" s="146" t="s">
        <v>4410</v>
      </c>
      <c r="O149" s="146" t="s">
        <v>4397</v>
      </c>
    </row>
    <row r="150" spans="1:15">
      <c r="A150" s="149" t="s">
        <v>4411</v>
      </c>
      <c r="B150" s="150" t="s">
        <v>4412</v>
      </c>
      <c r="C150" s="150" t="s">
        <v>4413</v>
      </c>
      <c r="D150" s="149" t="s">
        <v>4414</v>
      </c>
      <c r="E150" s="149" t="s">
        <v>4415</v>
      </c>
      <c r="F150" s="146" t="s">
        <v>4416</v>
      </c>
      <c r="G150" s="149" t="s">
        <v>4417</v>
      </c>
      <c r="H150" s="146" t="s">
        <v>4418</v>
      </c>
      <c r="I150" s="174" t="s">
        <v>4419</v>
      </c>
      <c r="J150" s="149" t="s">
        <v>4420</v>
      </c>
      <c r="K150" s="149" t="s">
        <v>4421</v>
      </c>
      <c r="L150" s="174" t="s">
        <v>4422</v>
      </c>
      <c r="M150" s="174" t="s">
        <v>4422</v>
      </c>
      <c r="N150" s="149" t="s">
        <v>4423</v>
      </c>
      <c r="O150" s="149" t="s">
        <v>4411</v>
      </c>
    </row>
    <row r="151" spans="1:15">
      <c r="A151" s="37" t="s">
        <v>4424</v>
      </c>
      <c r="B151" s="146" t="s">
        <v>4425</v>
      </c>
      <c r="C151" s="146" t="s">
        <v>4426</v>
      </c>
      <c r="D151" s="37" t="s">
        <v>4427</v>
      </c>
      <c r="E151" s="37" t="s">
        <v>4428</v>
      </c>
      <c r="F151" s="146" t="s">
        <v>4429</v>
      </c>
      <c r="G151" s="149" t="s">
        <v>4430</v>
      </c>
      <c r="H151" s="146" t="s">
        <v>4431</v>
      </c>
      <c r="I151" s="1" t="s">
        <v>4432</v>
      </c>
      <c r="J151" s="149" t="s">
        <v>4433</v>
      </c>
      <c r="K151" s="37" t="s">
        <v>4434</v>
      </c>
      <c r="L151" s="1" t="s">
        <v>4435</v>
      </c>
      <c r="M151" s="1" t="s">
        <v>4436</v>
      </c>
      <c r="N151" s="37" t="s">
        <v>4437</v>
      </c>
      <c r="O151" s="37" t="s">
        <v>4424</v>
      </c>
    </row>
    <row r="152" spans="1:15">
      <c r="A152" s="146" t="s">
        <v>4438</v>
      </c>
      <c r="B152" s="146" t="s">
        <v>4439</v>
      </c>
      <c r="C152" s="146" t="s">
        <v>4440</v>
      </c>
      <c r="D152" s="146" t="s">
        <v>4441</v>
      </c>
      <c r="E152" s="146" t="s">
        <v>4442</v>
      </c>
      <c r="F152" s="146" t="s">
        <v>4443</v>
      </c>
      <c r="G152" s="149" t="s">
        <v>4444</v>
      </c>
      <c r="H152" s="146" t="s">
        <v>4442</v>
      </c>
      <c r="I152" t="s">
        <v>4445</v>
      </c>
      <c r="J152" s="149" t="s">
        <v>4446</v>
      </c>
      <c r="K152" s="146" t="s">
        <v>4447</v>
      </c>
      <c r="L152" t="s">
        <v>4448</v>
      </c>
      <c r="M152" t="s">
        <v>4448</v>
      </c>
      <c r="N152" s="146" t="s">
        <v>4449</v>
      </c>
      <c r="O152" s="146" t="s">
        <v>4438</v>
      </c>
    </row>
    <row r="153" spans="1:15">
      <c r="A153" s="146" t="s">
        <v>4450</v>
      </c>
      <c r="B153" s="146" t="s">
        <v>4451</v>
      </c>
      <c r="C153" s="146" t="s">
        <v>4452</v>
      </c>
      <c r="D153" s="146" t="s">
        <v>4453</v>
      </c>
      <c r="E153" s="146" t="s">
        <v>4454</v>
      </c>
      <c r="F153" s="146" t="s">
        <v>4455</v>
      </c>
      <c r="G153" s="146" t="s">
        <v>4456</v>
      </c>
      <c r="H153" s="146" t="s">
        <v>4457</v>
      </c>
      <c r="I153" t="s">
        <v>4458</v>
      </c>
      <c r="J153" s="149" t="s">
        <v>4459</v>
      </c>
      <c r="K153" s="146" t="s">
        <v>4460</v>
      </c>
      <c r="L153" t="s">
        <v>4461</v>
      </c>
      <c r="M153" t="s">
        <v>4462</v>
      </c>
      <c r="N153" s="146" t="s">
        <v>4463</v>
      </c>
      <c r="O153" s="146" t="s">
        <v>4450</v>
      </c>
    </row>
    <row r="154" spans="1:15">
      <c r="A154" s="146" t="s">
        <v>4464</v>
      </c>
      <c r="B154" s="146" t="s">
        <v>4465</v>
      </c>
      <c r="C154" s="146" t="s">
        <v>4466</v>
      </c>
      <c r="D154" s="146" t="s">
        <v>4467</v>
      </c>
      <c r="E154" s="146" t="s">
        <v>4468</v>
      </c>
      <c r="F154" s="146" t="s">
        <v>4469</v>
      </c>
      <c r="G154" s="146" t="s">
        <v>4470</v>
      </c>
      <c r="H154" s="146" t="s">
        <v>4471</v>
      </c>
      <c r="I154" t="s">
        <v>4472</v>
      </c>
      <c r="J154" s="149" t="s">
        <v>4473</v>
      </c>
      <c r="K154" s="146" t="s">
        <v>4474</v>
      </c>
      <c r="L154" t="s">
        <v>4475</v>
      </c>
      <c r="M154" t="s">
        <v>4476</v>
      </c>
      <c r="N154" s="146" t="s">
        <v>4477</v>
      </c>
      <c r="O154" s="146" t="s">
        <v>4464</v>
      </c>
    </row>
    <row r="155" spans="1:15">
      <c r="A155" s="146" t="s">
        <v>85</v>
      </c>
      <c r="B155" s="151" t="s">
        <v>4478</v>
      </c>
      <c r="C155" s="146" t="s">
        <v>4479</v>
      </c>
      <c r="D155" s="146" t="s">
        <v>4480</v>
      </c>
      <c r="E155" s="146" t="s">
        <v>4481</v>
      </c>
      <c r="F155" s="146" t="s">
        <v>4482</v>
      </c>
      <c r="G155" s="149" t="s">
        <v>4483</v>
      </c>
      <c r="H155" s="146" t="s">
        <v>4484</v>
      </c>
      <c r="I155" t="s">
        <v>4485</v>
      </c>
      <c r="J155" s="149" t="s">
        <v>4486</v>
      </c>
      <c r="K155" s="146" t="s">
        <v>4487</v>
      </c>
      <c r="L155" t="s">
        <v>4488</v>
      </c>
      <c r="M155" t="s">
        <v>4489</v>
      </c>
      <c r="N155" s="146" t="s">
        <v>4490</v>
      </c>
      <c r="O155" s="146" t="s">
        <v>85</v>
      </c>
    </row>
    <row r="156" spans="1:15">
      <c r="A156" s="146">
        <v>250</v>
      </c>
      <c r="B156" s="151">
        <v>250</v>
      </c>
      <c r="C156" s="151">
        <v>250</v>
      </c>
      <c r="D156" s="146">
        <v>250</v>
      </c>
      <c r="E156" s="146">
        <v>250</v>
      </c>
      <c r="F156" s="146">
        <v>250</v>
      </c>
      <c r="G156" s="146">
        <v>250</v>
      </c>
      <c r="H156" s="146">
        <v>250</v>
      </c>
      <c r="I156" s="163">
        <v>250</v>
      </c>
      <c r="J156" s="146">
        <v>250</v>
      </c>
      <c r="K156" s="146">
        <v>250</v>
      </c>
      <c r="L156" s="163">
        <v>250</v>
      </c>
      <c r="M156" s="163">
        <v>250</v>
      </c>
      <c r="N156" s="146">
        <v>250</v>
      </c>
      <c r="O156" s="146">
        <v>250</v>
      </c>
    </row>
    <row r="157" spans="1:15">
      <c r="A157" s="146">
        <v>280</v>
      </c>
      <c r="B157" s="151">
        <v>280</v>
      </c>
      <c r="C157" s="151">
        <v>280</v>
      </c>
      <c r="D157" s="146">
        <v>280</v>
      </c>
      <c r="E157" s="146">
        <v>280</v>
      </c>
      <c r="F157" s="146">
        <v>280</v>
      </c>
      <c r="G157" s="146">
        <v>280</v>
      </c>
      <c r="H157" s="146">
        <v>280</v>
      </c>
      <c r="I157" s="163">
        <v>280</v>
      </c>
      <c r="J157" s="146">
        <v>280</v>
      </c>
      <c r="K157" s="146">
        <v>280</v>
      </c>
      <c r="L157" s="163">
        <v>280</v>
      </c>
      <c r="M157" s="163">
        <v>280</v>
      </c>
      <c r="N157" s="146">
        <v>280</v>
      </c>
      <c r="O157" s="146">
        <v>280</v>
      </c>
    </row>
    <row r="158" spans="1:15">
      <c r="A158" s="146">
        <v>333</v>
      </c>
      <c r="B158" s="151">
        <v>333</v>
      </c>
      <c r="C158" s="151">
        <v>333</v>
      </c>
      <c r="D158" s="146">
        <v>333</v>
      </c>
      <c r="E158" s="146">
        <v>333</v>
      </c>
      <c r="F158" s="146">
        <v>333</v>
      </c>
      <c r="G158" s="146">
        <v>333</v>
      </c>
      <c r="H158" s="146">
        <v>333</v>
      </c>
      <c r="I158" s="163">
        <v>333</v>
      </c>
      <c r="J158" s="146">
        <v>333</v>
      </c>
      <c r="K158" s="146">
        <v>333</v>
      </c>
      <c r="L158" s="163">
        <v>333</v>
      </c>
      <c r="M158" s="163">
        <v>333</v>
      </c>
      <c r="N158" s="146">
        <v>333</v>
      </c>
      <c r="O158" s="146">
        <v>333</v>
      </c>
    </row>
    <row r="159" spans="1:15">
      <c r="A159" s="146">
        <v>400</v>
      </c>
      <c r="B159" s="151">
        <v>400</v>
      </c>
      <c r="C159" s="151">
        <v>400</v>
      </c>
      <c r="D159" s="146">
        <v>400</v>
      </c>
      <c r="E159" s="146">
        <v>400</v>
      </c>
      <c r="F159" s="146">
        <v>400</v>
      </c>
      <c r="G159" s="146">
        <v>400</v>
      </c>
      <c r="H159" s="146">
        <v>400</v>
      </c>
      <c r="I159" s="163">
        <v>400</v>
      </c>
      <c r="J159" s="146">
        <v>400</v>
      </c>
      <c r="K159" s="146">
        <v>400</v>
      </c>
      <c r="L159" s="163">
        <v>400</v>
      </c>
      <c r="M159" s="163">
        <v>400</v>
      </c>
      <c r="N159" s="146">
        <v>400</v>
      </c>
      <c r="O159" s="146">
        <v>400</v>
      </c>
    </row>
    <row r="160" spans="1:15">
      <c r="A160" s="146">
        <v>500</v>
      </c>
      <c r="B160" s="151">
        <v>500</v>
      </c>
      <c r="C160" s="151">
        <v>500</v>
      </c>
      <c r="D160" s="146">
        <v>500</v>
      </c>
      <c r="E160" s="146">
        <v>500</v>
      </c>
      <c r="F160" s="146">
        <v>500</v>
      </c>
      <c r="G160" s="146">
        <v>500</v>
      </c>
      <c r="H160" s="146">
        <v>500</v>
      </c>
      <c r="I160" s="163">
        <v>500</v>
      </c>
      <c r="J160" s="146">
        <v>500</v>
      </c>
      <c r="K160" s="146">
        <v>500</v>
      </c>
      <c r="L160" s="163">
        <v>500</v>
      </c>
      <c r="M160" s="163">
        <v>500</v>
      </c>
      <c r="N160" s="146">
        <v>500</v>
      </c>
      <c r="O160" s="146">
        <v>500</v>
      </c>
    </row>
    <row r="161" spans="1:15">
      <c r="A161" s="146" t="s">
        <v>2081</v>
      </c>
      <c r="B161" s="151" t="s">
        <v>4491</v>
      </c>
      <c r="C161" s="146" t="s">
        <v>4492</v>
      </c>
      <c r="D161" s="146" t="s">
        <v>4493</v>
      </c>
      <c r="E161" s="146" t="s">
        <v>4494</v>
      </c>
      <c r="F161" s="146" t="s">
        <v>4495</v>
      </c>
      <c r="G161" s="146" t="s">
        <v>4496</v>
      </c>
      <c r="H161" s="146" t="s">
        <v>4497</v>
      </c>
      <c r="I161" t="s">
        <v>4498</v>
      </c>
      <c r="J161" s="146" t="s">
        <v>4499</v>
      </c>
      <c r="K161" s="146" t="s">
        <v>4500</v>
      </c>
      <c r="L161" t="s">
        <v>4501</v>
      </c>
      <c r="M161" t="s">
        <v>4502</v>
      </c>
      <c r="N161" s="146" t="s">
        <v>4503</v>
      </c>
      <c r="O161" s="146" t="s">
        <v>2081</v>
      </c>
    </row>
    <row r="162" spans="1:15">
      <c r="A162" s="146" t="s">
        <v>4504</v>
      </c>
      <c r="B162" s="151" t="s">
        <v>4505</v>
      </c>
      <c r="C162" s="146" t="s">
        <v>4506</v>
      </c>
      <c r="D162" s="146" t="s">
        <v>2151</v>
      </c>
      <c r="E162" s="146" t="s">
        <v>4504</v>
      </c>
      <c r="F162" s="146" t="s">
        <v>4505</v>
      </c>
      <c r="G162" s="146" t="s">
        <v>4504</v>
      </c>
      <c r="H162" s="146" t="s">
        <v>4504</v>
      </c>
      <c r="I162" t="s">
        <v>4507</v>
      </c>
      <c r="J162" s="146" t="s">
        <v>4504</v>
      </c>
      <c r="K162" s="146" t="s">
        <v>4508</v>
      </c>
      <c r="L162" t="s">
        <v>4508</v>
      </c>
      <c r="M162" t="s">
        <v>4509</v>
      </c>
      <c r="N162" s="146" t="s">
        <v>4504</v>
      </c>
      <c r="O162" s="146" t="s">
        <v>4504</v>
      </c>
    </row>
    <row r="163" spans="1:15">
      <c r="A163" s="146" t="s">
        <v>4510</v>
      </c>
      <c r="B163" s="151" t="s">
        <v>4511</v>
      </c>
      <c r="C163" s="146" t="s">
        <v>4512</v>
      </c>
      <c r="D163" s="146" t="s">
        <v>4513</v>
      </c>
      <c r="E163" s="146" t="s">
        <v>4514</v>
      </c>
      <c r="F163" s="146" t="s">
        <v>4515</v>
      </c>
      <c r="G163" s="146" t="s">
        <v>4516</v>
      </c>
      <c r="H163" s="146" t="s">
        <v>4517</v>
      </c>
      <c r="I163" t="s">
        <v>4518</v>
      </c>
      <c r="J163" s="152" t="s">
        <v>4519</v>
      </c>
      <c r="K163" s="146" t="s">
        <v>4520</v>
      </c>
      <c r="L163" t="s">
        <v>4521</v>
      </c>
      <c r="M163" t="s">
        <v>4522</v>
      </c>
      <c r="N163" s="146" t="s">
        <v>4523</v>
      </c>
      <c r="O163" s="146" t="s">
        <v>4510</v>
      </c>
    </row>
    <row r="164" spans="1:15">
      <c r="A164" s="146" t="s">
        <v>4524</v>
      </c>
      <c r="B164" s="151" t="s">
        <v>4524</v>
      </c>
      <c r="C164" s="146" t="s">
        <v>4525</v>
      </c>
      <c r="D164" s="146" t="s">
        <v>4526</v>
      </c>
      <c r="E164" s="146" t="s">
        <v>4526</v>
      </c>
      <c r="F164" s="146" t="s">
        <v>4524</v>
      </c>
      <c r="G164" s="146" t="s">
        <v>4524</v>
      </c>
      <c r="H164" s="146" t="s">
        <v>4524</v>
      </c>
      <c r="I164" t="s">
        <v>4527</v>
      </c>
      <c r="J164" s="146" t="s">
        <v>4526</v>
      </c>
      <c r="K164" s="146" t="s">
        <v>4528</v>
      </c>
      <c r="L164" t="s">
        <v>4528</v>
      </c>
      <c r="M164" t="s">
        <v>4529</v>
      </c>
      <c r="N164" s="146" t="s">
        <v>4524</v>
      </c>
      <c r="O164" s="146" t="s">
        <v>4524</v>
      </c>
    </row>
    <row r="165" spans="1:15">
      <c r="A165" s="146" t="s">
        <v>4530</v>
      </c>
      <c r="B165" s="151" t="s">
        <v>4530</v>
      </c>
      <c r="C165" s="146" t="s">
        <v>4531</v>
      </c>
      <c r="D165" s="146" t="s">
        <v>4532</v>
      </c>
      <c r="E165" s="146" t="s">
        <v>4532</v>
      </c>
      <c r="F165" s="146" t="s">
        <v>4530</v>
      </c>
      <c r="G165" s="146" t="s">
        <v>4530</v>
      </c>
      <c r="H165" s="146" t="s">
        <v>4530</v>
      </c>
      <c r="I165" t="s">
        <v>4533</v>
      </c>
      <c r="J165" s="146" t="s">
        <v>4532</v>
      </c>
      <c r="K165" s="146" t="s">
        <v>4534</v>
      </c>
      <c r="L165" t="s">
        <v>4534</v>
      </c>
      <c r="M165" t="s">
        <v>4534</v>
      </c>
      <c r="N165" s="146" t="s">
        <v>4530</v>
      </c>
      <c r="O165" s="146" t="s">
        <v>4530</v>
      </c>
    </row>
    <row r="166" spans="1:15">
      <c r="A166" s="146" t="s">
        <v>4535</v>
      </c>
      <c r="B166" s="146" t="s">
        <v>4535</v>
      </c>
      <c r="C166" s="146" t="s">
        <v>4535</v>
      </c>
      <c r="D166" s="146" t="s">
        <v>4535</v>
      </c>
      <c r="E166" s="146" t="s">
        <v>4535</v>
      </c>
      <c r="F166" s="146" t="s">
        <v>4535</v>
      </c>
      <c r="G166" s="146" t="s">
        <v>4535</v>
      </c>
      <c r="H166" s="146" t="s">
        <v>4535</v>
      </c>
      <c r="I166" s="146" t="s">
        <v>4535</v>
      </c>
      <c r="J166" s="146" t="s">
        <v>4535</v>
      </c>
      <c r="K166" s="146" t="s">
        <v>4535</v>
      </c>
      <c r="L166" s="146" t="s">
        <v>4535</v>
      </c>
      <c r="M166" s="146" t="s">
        <v>4535</v>
      </c>
      <c r="N166" s="146" t="s">
        <v>4535</v>
      </c>
      <c r="O166" s="146" t="s">
        <v>4535</v>
      </c>
    </row>
    <row r="167" spans="1:15">
      <c r="A167" s="146" t="s">
        <v>4536</v>
      </c>
      <c r="B167" s="151" t="s">
        <v>4537</v>
      </c>
      <c r="C167" s="146" t="s">
        <v>4538</v>
      </c>
      <c r="D167" s="146" t="s">
        <v>4539</v>
      </c>
      <c r="E167" s="146" t="s">
        <v>4540</v>
      </c>
      <c r="F167" s="146" t="s">
        <v>4537</v>
      </c>
      <c r="G167" s="146" t="s">
        <v>4536</v>
      </c>
      <c r="H167" s="146" t="s">
        <v>4536</v>
      </c>
      <c r="I167" t="s">
        <v>4541</v>
      </c>
      <c r="J167" s="146" t="s">
        <v>4540</v>
      </c>
      <c r="K167" s="146" t="s">
        <v>4542</v>
      </c>
      <c r="L167" t="s">
        <v>4543</v>
      </c>
      <c r="M167" t="s">
        <v>4544</v>
      </c>
      <c r="N167" s="146" t="s">
        <v>4536</v>
      </c>
      <c r="O167" s="146" t="s">
        <v>4536</v>
      </c>
    </row>
    <row r="168" spans="1:15">
      <c r="A168" s="146" t="s">
        <v>4545</v>
      </c>
      <c r="B168" s="151" t="s">
        <v>4546</v>
      </c>
      <c r="C168" s="146" t="s">
        <v>4547</v>
      </c>
      <c r="D168" s="146" t="s">
        <v>4548</v>
      </c>
      <c r="E168" s="146" t="s">
        <v>4549</v>
      </c>
      <c r="F168" s="146" t="s">
        <v>4546</v>
      </c>
      <c r="G168" s="146" t="s">
        <v>4545</v>
      </c>
      <c r="H168" s="146" t="s">
        <v>4545</v>
      </c>
      <c r="I168" t="s">
        <v>4550</v>
      </c>
      <c r="J168" s="146" t="s">
        <v>4549</v>
      </c>
      <c r="K168" s="146" t="s">
        <v>4551</v>
      </c>
      <c r="L168" t="s">
        <v>4551</v>
      </c>
      <c r="M168" t="s">
        <v>4552</v>
      </c>
      <c r="N168" s="146" t="s">
        <v>4545</v>
      </c>
      <c r="O168" s="146" t="s">
        <v>4545</v>
      </c>
    </row>
    <row r="169" spans="1:15">
      <c r="A169" s="146" t="s">
        <v>4553</v>
      </c>
      <c r="B169" s="151" t="s">
        <v>4553</v>
      </c>
      <c r="C169" s="146" t="s">
        <v>4554</v>
      </c>
      <c r="D169" s="146" t="s">
        <v>4555</v>
      </c>
      <c r="E169" s="146" t="s">
        <v>4556</v>
      </c>
      <c r="F169" s="146" t="s">
        <v>4553</v>
      </c>
      <c r="G169" s="146" t="s">
        <v>4553</v>
      </c>
      <c r="H169" s="146" t="s">
        <v>4553</v>
      </c>
      <c r="I169" t="s">
        <v>4557</v>
      </c>
      <c r="J169" s="146" t="s">
        <v>4556</v>
      </c>
      <c r="K169" s="146" t="s">
        <v>4558</v>
      </c>
      <c r="L169" t="s">
        <v>4559</v>
      </c>
      <c r="M169" t="s">
        <v>4560</v>
      </c>
      <c r="N169" s="146" t="s">
        <v>4553</v>
      </c>
      <c r="O169" s="146" t="s">
        <v>4553</v>
      </c>
    </row>
    <row r="170" spans="1:15">
      <c r="A170" s="146" t="s">
        <v>4561</v>
      </c>
      <c r="B170" s="146" t="s">
        <v>4561</v>
      </c>
      <c r="C170" s="146" t="s">
        <v>4561</v>
      </c>
      <c r="D170" s="146" t="s">
        <v>4561</v>
      </c>
      <c r="E170" s="146" t="s">
        <v>4561</v>
      </c>
      <c r="F170" s="146" t="s">
        <v>4561</v>
      </c>
      <c r="G170" s="146" t="s">
        <v>4561</v>
      </c>
      <c r="H170" s="146" t="s">
        <v>4561</v>
      </c>
      <c r="I170" s="146" t="s">
        <v>4561</v>
      </c>
      <c r="J170" s="146" t="s">
        <v>4561</v>
      </c>
      <c r="K170" s="146" t="s">
        <v>4561</v>
      </c>
      <c r="L170" s="146" t="s">
        <v>4561</v>
      </c>
      <c r="M170" s="146" t="s">
        <v>4561</v>
      </c>
      <c r="N170" s="146" t="s">
        <v>4561</v>
      </c>
      <c r="O170" s="146" t="s">
        <v>4561</v>
      </c>
    </row>
    <row r="171" spans="1:15">
      <c r="A171" s="146" t="s">
        <v>4562</v>
      </c>
      <c r="B171" s="151" t="s">
        <v>4562</v>
      </c>
      <c r="C171" s="146" t="s">
        <v>4562</v>
      </c>
      <c r="D171" s="146" t="s">
        <v>4562</v>
      </c>
      <c r="E171" s="146" t="s">
        <v>4562</v>
      </c>
      <c r="F171" s="146" t="s">
        <v>4562</v>
      </c>
      <c r="G171" s="146" t="s">
        <v>4562</v>
      </c>
      <c r="H171" s="146" t="s">
        <v>4562</v>
      </c>
      <c r="I171" t="s">
        <v>4563</v>
      </c>
      <c r="J171" s="146" t="s">
        <v>4562</v>
      </c>
      <c r="K171" s="146" t="s">
        <v>4563</v>
      </c>
      <c r="L171" t="s">
        <v>4563</v>
      </c>
      <c r="M171" t="s">
        <v>4563</v>
      </c>
      <c r="N171" s="146" t="s">
        <v>4562</v>
      </c>
      <c r="O171" s="146" t="s">
        <v>4562</v>
      </c>
    </row>
    <row r="172" spans="1:15">
      <c r="A172" s="146" t="s">
        <v>4564</v>
      </c>
      <c r="B172" s="146" t="s">
        <v>4564</v>
      </c>
      <c r="C172" s="146" t="s">
        <v>4564</v>
      </c>
      <c r="D172" s="146" t="s">
        <v>4564</v>
      </c>
      <c r="E172" s="146" t="s">
        <v>4564</v>
      </c>
      <c r="F172" s="146" t="s">
        <v>4564</v>
      </c>
      <c r="G172" s="146" t="s">
        <v>4564</v>
      </c>
      <c r="H172" s="146" t="s">
        <v>4564</v>
      </c>
      <c r="I172" s="146" t="s">
        <v>4564</v>
      </c>
      <c r="J172" s="146" t="s">
        <v>4564</v>
      </c>
      <c r="K172" s="146" t="s">
        <v>4564</v>
      </c>
      <c r="L172" s="146" t="s">
        <v>4564</v>
      </c>
      <c r="M172" s="146" t="s">
        <v>4564</v>
      </c>
      <c r="N172" s="146" t="s">
        <v>4564</v>
      </c>
      <c r="O172" s="146" t="s">
        <v>4564</v>
      </c>
    </row>
    <row r="173" spans="1:15">
      <c r="A173" s="146" t="s">
        <v>4565</v>
      </c>
      <c r="B173" s="151" t="s">
        <v>4565</v>
      </c>
      <c r="C173" s="146" t="s">
        <v>4566</v>
      </c>
      <c r="D173" s="146" t="s">
        <v>4567</v>
      </c>
      <c r="E173" s="146" t="s">
        <v>4567</v>
      </c>
      <c r="F173" s="146" t="s">
        <v>4565</v>
      </c>
      <c r="G173" s="146" t="s">
        <v>4565</v>
      </c>
      <c r="H173" s="146" t="s">
        <v>4565</v>
      </c>
      <c r="I173" t="s">
        <v>4568</v>
      </c>
      <c r="J173" s="146" t="s">
        <v>4567</v>
      </c>
      <c r="K173" s="146" t="s">
        <v>4569</v>
      </c>
      <c r="L173" t="s">
        <v>4569</v>
      </c>
      <c r="M173" t="s">
        <v>4569</v>
      </c>
      <c r="N173" s="146" t="s">
        <v>4565</v>
      </c>
      <c r="O173" s="146" t="s">
        <v>4565</v>
      </c>
    </row>
    <row r="174" spans="1:15">
      <c r="A174" s="146" t="s">
        <v>4570</v>
      </c>
      <c r="B174" s="151" t="s">
        <v>4570</v>
      </c>
      <c r="C174" s="146" t="s">
        <v>4571</v>
      </c>
      <c r="D174" s="146" t="s">
        <v>4572</v>
      </c>
      <c r="E174" s="146" t="s">
        <v>4572</v>
      </c>
      <c r="F174" s="146" t="s">
        <v>4570</v>
      </c>
      <c r="G174" s="146" t="s">
        <v>4570</v>
      </c>
      <c r="H174" s="146" t="s">
        <v>4570</v>
      </c>
      <c r="I174" t="s">
        <v>4573</v>
      </c>
      <c r="J174" s="146" t="s">
        <v>4572</v>
      </c>
      <c r="K174" s="146" t="s">
        <v>4574</v>
      </c>
      <c r="L174" t="s">
        <v>4574</v>
      </c>
      <c r="M174" t="s">
        <v>4574</v>
      </c>
      <c r="N174" s="146" t="s">
        <v>4570</v>
      </c>
      <c r="O174" s="146" t="s">
        <v>4570</v>
      </c>
    </row>
    <row r="175" spans="1:15">
      <c r="A175" s="146" t="s">
        <v>4575</v>
      </c>
      <c r="B175" s="151" t="s">
        <v>4576</v>
      </c>
      <c r="C175" s="146" t="s">
        <v>4577</v>
      </c>
      <c r="D175" s="146" t="s">
        <v>4578</v>
      </c>
      <c r="E175" s="146" t="s">
        <v>4579</v>
      </c>
      <c r="F175" s="146" t="s">
        <v>4580</v>
      </c>
      <c r="G175" s="146" t="s">
        <v>4581</v>
      </c>
      <c r="H175" s="146" t="s">
        <v>4582</v>
      </c>
      <c r="I175" t="s">
        <v>4583</v>
      </c>
      <c r="J175" s="146" t="s">
        <v>4584</v>
      </c>
      <c r="K175" s="146" t="s">
        <v>4585</v>
      </c>
      <c r="L175" t="s">
        <v>4586</v>
      </c>
      <c r="M175" t="s">
        <v>4587</v>
      </c>
      <c r="N175" s="146" t="s">
        <v>4588</v>
      </c>
      <c r="O175" s="146" t="s">
        <v>4575</v>
      </c>
    </row>
    <row r="176" spans="1:15">
      <c r="A176" s="146" t="s">
        <v>4589</v>
      </c>
      <c r="B176" s="151" t="s">
        <v>4590</v>
      </c>
      <c r="C176" s="146" t="s">
        <v>4591</v>
      </c>
      <c r="D176" s="146" t="s">
        <v>4592</v>
      </c>
      <c r="E176" s="146" t="s">
        <v>4593</v>
      </c>
      <c r="F176" s="146" t="s">
        <v>4594</v>
      </c>
      <c r="G176" s="146" t="s">
        <v>4595</v>
      </c>
      <c r="H176" s="146" t="s">
        <v>4596</v>
      </c>
      <c r="I176" t="s">
        <v>4597</v>
      </c>
      <c r="J176" s="152" t="s">
        <v>4598</v>
      </c>
      <c r="K176" s="146" t="s">
        <v>4599</v>
      </c>
      <c r="L176" t="s">
        <v>4600</v>
      </c>
      <c r="M176" t="s">
        <v>4601</v>
      </c>
      <c r="N176" s="146" t="s">
        <v>4602</v>
      </c>
      <c r="O176" s="146" t="s">
        <v>4589</v>
      </c>
    </row>
    <row r="177" spans="1:15">
      <c r="A177" s="146" t="s">
        <v>4603</v>
      </c>
      <c r="B177" s="151" t="s">
        <v>4603</v>
      </c>
      <c r="C177" s="146" t="s">
        <v>4603</v>
      </c>
      <c r="D177" s="146" t="s">
        <v>4603</v>
      </c>
      <c r="E177" s="146" t="s">
        <v>4603</v>
      </c>
      <c r="F177" s="146" t="s">
        <v>4603</v>
      </c>
      <c r="G177" s="146" t="s">
        <v>4603</v>
      </c>
      <c r="H177" s="146" t="s">
        <v>4603</v>
      </c>
      <c r="I177" t="s">
        <v>4604</v>
      </c>
      <c r="J177" s="146" t="s">
        <v>4603</v>
      </c>
      <c r="K177" s="146" t="s">
        <v>4604</v>
      </c>
      <c r="L177" t="s">
        <v>4604</v>
      </c>
      <c r="M177" t="s">
        <v>4605</v>
      </c>
      <c r="N177" s="146" t="s">
        <v>4603</v>
      </c>
      <c r="O177" s="146" t="s">
        <v>4603</v>
      </c>
    </row>
    <row r="178" spans="1:15">
      <c r="A178" s="146" t="s">
        <v>4606</v>
      </c>
      <c r="B178" s="151" t="s">
        <v>4607</v>
      </c>
      <c r="C178" s="146" t="s">
        <v>4608</v>
      </c>
      <c r="D178" s="146" t="s">
        <v>4609</v>
      </c>
      <c r="E178" s="146" t="s">
        <v>4609</v>
      </c>
      <c r="F178" s="146" t="s">
        <v>4607</v>
      </c>
      <c r="G178" s="146" t="s">
        <v>4606</v>
      </c>
      <c r="H178" s="146" t="s">
        <v>4606</v>
      </c>
      <c r="I178" t="s">
        <v>4610</v>
      </c>
      <c r="J178" s="146" t="s">
        <v>4609</v>
      </c>
      <c r="K178" s="146" t="s">
        <v>4611</v>
      </c>
      <c r="L178" t="s">
        <v>4611</v>
      </c>
      <c r="M178" t="s">
        <v>4612</v>
      </c>
      <c r="N178" s="146" t="s">
        <v>4606</v>
      </c>
      <c r="O178" s="146" t="s">
        <v>4606</v>
      </c>
    </row>
    <row r="179" spans="1:15">
      <c r="A179" s="146" t="s">
        <v>4613</v>
      </c>
      <c r="B179" s="151" t="s">
        <v>4613</v>
      </c>
      <c r="C179" s="146" t="s">
        <v>4613</v>
      </c>
      <c r="D179" s="146" t="s">
        <v>4613</v>
      </c>
      <c r="E179" s="146" t="s">
        <v>4613</v>
      </c>
      <c r="F179" s="146" t="s">
        <v>4613</v>
      </c>
      <c r="G179" s="146" t="s">
        <v>4613</v>
      </c>
      <c r="H179" s="146" t="s">
        <v>4613</v>
      </c>
      <c r="I179" t="s">
        <v>4614</v>
      </c>
      <c r="J179" s="146" t="s">
        <v>4613</v>
      </c>
      <c r="K179" s="146" t="s">
        <v>4614</v>
      </c>
      <c r="L179" t="s">
        <v>4614</v>
      </c>
      <c r="M179" t="s">
        <v>4615</v>
      </c>
      <c r="N179" s="146" t="s">
        <v>4613</v>
      </c>
      <c r="O179" s="146" t="s">
        <v>4613</v>
      </c>
    </row>
    <row r="180" spans="1:15">
      <c r="A180" s="146" t="s">
        <v>4616</v>
      </c>
      <c r="B180" s="151" t="s">
        <v>4616</v>
      </c>
      <c r="C180" s="146" t="s">
        <v>4616</v>
      </c>
      <c r="D180" s="146" t="s">
        <v>4617</v>
      </c>
      <c r="E180" s="146" t="s">
        <v>4617</v>
      </c>
      <c r="F180" s="146" t="s">
        <v>4616</v>
      </c>
      <c r="G180" s="146" t="s">
        <v>4616</v>
      </c>
      <c r="H180" s="146" t="s">
        <v>4616</v>
      </c>
      <c r="I180" t="s">
        <v>4618</v>
      </c>
      <c r="J180" s="146" t="s">
        <v>4617</v>
      </c>
      <c r="K180" s="146" t="s">
        <v>4618</v>
      </c>
      <c r="L180" t="s">
        <v>4618</v>
      </c>
      <c r="M180" t="s">
        <v>4618</v>
      </c>
      <c r="N180" s="146" t="s">
        <v>4616</v>
      </c>
      <c r="O180" s="146" t="s">
        <v>4616</v>
      </c>
    </row>
    <row r="181" spans="1:15">
      <c r="A181" s="146" t="s">
        <v>4619</v>
      </c>
      <c r="B181" s="151" t="s">
        <v>4619</v>
      </c>
      <c r="C181" s="146" t="s">
        <v>4619</v>
      </c>
      <c r="D181" s="146" t="s">
        <v>4620</v>
      </c>
      <c r="E181" s="146" t="s">
        <v>4620</v>
      </c>
      <c r="F181" s="146" t="s">
        <v>4619</v>
      </c>
      <c r="G181" s="146" t="s">
        <v>4619</v>
      </c>
      <c r="H181" s="146" t="s">
        <v>4619</v>
      </c>
      <c r="I181" t="s">
        <v>4621</v>
      </c>
      <c r="J181" s="146" t="s">
        <v>4620</v>
      </c>
      <c r="K181" s="146" t="s">
        <v>4621</v>
      </c>
      <c r="L181" t="s">
        <v>4621</v>
      </c>
      <c r="M181" t="s">
        <v>4621</v>
      </c>
      <c r="N181" s="146" t="s">
        <v>4619</v>
      </c>
      <c r="O181" s="146" t="s">
        <v>4619</v>
      </c>
    </row>
    <row r="182" spans="1:15" ht="16.2">
      <c r="A182" s="146" t="s">
        <v>4622</v>
      </c>
      <c r="B182" s="151" t="s">
        <v>4623</v>
      </c>
      <c r="C182" s="146" t="s">
        <v>4624</v>
      </c>
      <c r="D182" s="146" t="s">
        <v>4625</v>
      </c>
      <c r="E182" s="146" t="s">
        <v>4626</v>
      </c>
      <c r="F182" s="146" t="s">
        <v>4627</v>
      </c>
      <c r="G182" s="146" t="s">
        <v>4628</v>
      </c>
      <c r="H182" s="146" t="s">
        <v>4629</v>
      </c>
      <c r="I182" t="s">
        <v>4630</v>
      </c>
      <c r="J182" s="146" t="s">
        <v>4631</v>
      </c>
      <c r="K182" s="146" t="s">
        <v>4632</v>
      </c>
      <c r="L182" t="s">
        <v>4633</v>
      </c>
      <c r="M182" t="s">
        <v>4634</v>
      </c>
      <c r="N182" s="146" t="s">
        <v>4635</v>
      </c>
      <c r="O182" s="146" t="s">
        <v>4622</v>
      </c>
    </row>
    <row r="183" spans="1:15">
      <c r="A183" s="146" t="s">
        <v>4636</v>
      </c>
      <c r="B183" s="151" t="s">
        <v>4636</v>
      </c>
      <c r="C183" s="146" t="s">
        <v>4636</v>
      </c>
      <c r="D183" s="146" t="s">
        <v>4636</v>
      </c>
      <c r="E183" s="146" t="s">
        <v>4636</v>
      </c>
      <c r="F183" s="146" t="s">
        <v>4636</v>
      </c>
      <c r="G183" s="146" t="s">
        <v>4636</v>
      </c>
      <c r="H183" s="146" t="s">
        <v>4636</v>
      </c>
      <c r="I183" t="s">
        <v>4637</v>
      </c>
      <c r="J183" s="146" t="s">
        <v>4636</v>
      </c>
      <c r="K183" s="146" t="s">
        <v>4637</v>
      </c>
      <c r="L183" t="s">
        <v>4637</v>
      </c>
      <c r="M183" t="s">
        <v>4638</v>
      </c>
      <c r="N183" s="146" t="s">
        <v>4636</v>
      </c>
      <c r="O183" s="146" t="s">
        <v>4636</v>
      </c>
    </row>
    <row r="184" spans="1:15">
      <c r="A184" s="146" t="s">
        <v>4639</v>
      </c>
      <c r="B184" s="151" t="s">
        <v>4640</v>
      </c>
      <c r="C184" s="146" t="s">
        <v>4641</v>
      </c>
      <c r="D184" s="146" t="s">
        <v>4639</v>
      </c>
      <c r="E184" s="146" t="s">
        <v>4639</v>
      </c>
      <c r="F184" s="146" t="s">
        <v>4640</v>
      </c>
      <c r="G184" s="146" t="s">
        <v>4639</v>
      </c>
      <c r="H184" s="146" t="s">
        <v>4639</v>
      </c>
      <c r="I184" t="s">
        <v>4642</v>
      </c>
      <c r="J184" s="146" t="s">
        <v>4639</v>
      </c>
      <c r="K184" s="146" t="s">
        <v>4643</v>
      </c>
      <c r="L184" t="s">
        <v>4643</v>
      </c>
      <c r="M184" t="s">
        <v>4644</v>
      </c>
      <c r="N184" s="146" t="s">
        <v>4639</v>
      </c>
      <c r="O184" s="146" t="s">
        <v>4639</v>
      </c>
    </row>
    <row r="185" spans="1:15">
      <c r="A185" s="146" t="s">
        <v>4645</v>
      </c>
      <c r="B185" s="151" t="s">
        <v>4646</v>
      </c>
      <c r="C185" s="146" t="s">
        <v>4647</v>
      </c>
      <c r="D185" s="146" t="s">
        <v>4648</v>
      </c>
      <c r="E185" s="146" t="s">
        <v>4649</v>
      </c>
      <c r="F185" s="146" t="s">
        <v>4650</v>
      </c>
      <c r="G185" s="146" t="s">
        <v>4651</v>
      </c>
      <c r="H185" s="146" t="s">
        <v>4652</v>
      </c>
      <c r="I185" t="s">
        <v>4653</v>
      </c>
      <c r="J185" s="146" t="s">
        <v>4654</v>
      </c>
      <c r="K185" s="146" t="s">
        <v>4655</v>
      </c>
      <c r="L185" t="s">
        <v>4656</v>
      </c>
      <c r="M185" t="s">
        <v>4657</v>
      </c>
      <c r="N185" s="146" t="s">
        <v>4658</v>
      </c>
      <c r="O185" s="146" t="s">
        <v>4645</v>
      </c>
    </row>
    <row r="186" spans="1:15">
      <c r="A186" s="146" t="s">
        <v>4659</v>
      </c>
      <c r="B186" s="151" t="s">
        <v>4659</v>
      </c>
      <c r="C186" s="146" t="s">
        <v>4659</v>
      </c>
      <c r="D186" s="146" t="s">
        <v>4659</v>
      </c>
      <c r="E186" s="146" t="s">
        <v>4659</v>
      </c>
      <c r="F186" s="146" t="s">
        <v>4659</v>
      </c>
      <c r="G186" s="146" t="s">
        <v>4659</v>
      </c>
      <c r="H186" s="146" t="s">
        <v>4659</v>
      </c>
      <c r="I186" t="s">
        <v>4660</v>
      </c>
      <c r="J186" s="146" t="s">
        <v>4659</v>
      </c>
      <c r="K186" s="146" t="s">
        <v>4660</v>
      </c>
      <c r="L186" t="s">
        <v>4660</v>
      </c>
      <c r="M186" t="s">
        <v>4661</v>
      </c>
      <c r="N186" s="146" t="s">
        <v>4659</v>
      </c>
      <c r="O186" s="146" t="s">
        <v>4659</v>
      </c>
    </row>
    <row r="187" spans="1:15">
      <c r="A187" s="146" t="s">
        <v>4662</v>
      </c>
      <c r="B187" s="151" t="s">
        <v>4662</v>
      </c>
      <c r="C187" s="146" t="s">
        <v>4662</v>
      </c>
      <c r="D187" s="146" t="s">
        <v>4662</v>
      </c>
      <c r="E187" s="146" t="s">
        <v>4662</v>
      </c>
      <c r="F187" s="146" t="s">
        <v>4662</v>
      </c>
      <c r="G187" s="146" t="s">
        <v>4662</v>
      </c>
      <c r="H187" s="146" t="s">
        <v>4662</v>
      </c>
      <c r="I187" t="s">
        <v>4663</v>
      </c>
      <c r="J187" s="146" t="s">
        <v>4662</v>
      </c>
      <c r="K187" s="146" t="s">
        <v>4663</v>
      </c>
      <c r="L187" t="s">
        <v>4663</v>
      </c>
      <c r="M187" t="s">
        <v>4663</v>
      </c>
      <c r="N187" s="146" t="s">
        <v>4662</v>
      </c>
      <c r="O187" s="146" t="s">
        <v>4662</v>
      </c>
    </row>
    <row r="188" spans="1:15">
      <c r="A188" s="146" t="s">
        <v>4664</v>
      </c>
      <c r="B188" s="151" t="s">
        <v>4664</v>
      </c>
      <c r="C188" s="146" t="s">
        <v>4664</v>
      </c>
      <c r="D188" s="146" t="s">
        <v>4665</v>
      </c>
      <c r="E188" s="146" t="s">
        <v>4665</v>
      </c>
      <c r="F188" s="146" t="s">
        <v>4664</v>
      </c>
      <c r="G188" s="146" t="s">
        <v>4664</v>
      </c>
      <c r="H188" s="146" t="s">
        <v>4664</v>
      </c>
      <c r="I188" t="s">
        <v>4666</v>
      </c>
      <c r="J188" s="146" t="s">
        <v>4665</v>
      </c>
      <c r="K188" s="146" t="s">
        <v>4666</v>
      </c>
      <c r="L188" t="s">
        <v>4667</v>
      </c>
      <c r="M188" t="s">
        <v>4668</v>
      </c>
      <c r="N188" s="146" t="s">
        <v>4664</v>
      </c>
      <c r="O188" s="146" t="s">
        <v>4664</v>
      </c>
    </row>
    <row r="189" spans="1:15">
      <c r="A189" s="146" t="s">
        <v>4669</v>
      </c>
      <c r="B189" s="151" t="s">
        <v>4669</v>
      </c>
      <c r="C189" s="146" t="s">
        <v>4669</v>
      </c>
      <c r="D189" s="146" t="s">
        <v>4670</v>
      </c>
      <c r="E189" s="146" t="s">
        <v>4670</v>
      </c>
      <c r="F189" s="146" t="s">
        <v>4669</v>
      </c>
      <c r="G189" s="146" t="s">
        <v>4669</v>
      </c>
      <c r="H189" s="146" t="s">
        <v>4669</v>
      </c>
      <c r="I189" t="s">
        <v>4671</v>
      </c>
      <c r="J189" s="146" t="s">
        <v>4670</v>
      </c>
      <c r="K189" s="146" t="s">
        <v>4671</v>
      </c>
      <c r="L189" t="s">
        <v>4671</v>
      </c>
      <c r="M189" t="s">
        <v>4671</v>
      </c>
      <c r="N189" s="146" t="s">
        <v>4669</v>
      </c>
      <c r="O189" s="146" t="s">
        <v>4669</v>
      </c>
    </row>
    <row r="190" spans="1:15">
      <c r="A190" s="146" t="s">
        <v>2053</v>
      </c>
      <c r="B190" s="151" t="s">
        <v>4672</v>
      </c>
      <c r="C190" s="146" t="s">
        <v>2053</v>
      </c>
      <c r="D190" s="146" t="s">
        <v>4673</v>
      </c>
      <c r="E190" s="146" t="s">
        <v>4673</v>
      </c>
      <c r="F190" s="146" t="s">
        <v>4672</v>
      </c>
      <c r="G190" s="146" t="s">
        <v>4674</v>
      </c>
      <c r="H190" s="146" t="s">
        <v>2053</v>
      </c>
      <c r="I190" t="s">
        <v>4675</v>
      </c>
      <c r="J190" s="146" t="s">
        <v>4673</v>
      </c>
      <c r="K190" s="146" t="s">
        <v>4675</v>
      </c>
      <c r="L190" t="s">
        <v>4675</v>
      </c>
      <c r="M190" t="s">
        <v>4676</v>
      </c>
      <c r="N190" s="146" t="s">
        <v>2053</v>
      </c>
      <c r="O190" s="146" t="s">
        <v>2053</v>
      </c>
    </row>
    <row r="191" spans="1:15">
      <c r="A191" s="146" t="s">
        <v>4677</v>
      </c>
      <c r="B191" s="151" t="s">
        <v>4677</v>
      </c>
      <c r="C191" s="146" t="s">
        <v>4677</v>
      </c>
      <c r="D191" s="146" t="s">
        <v>4678</v>
      </c>
      <c r="E191" s="146" t="s">
        <v>4678</v>
      </c>
      <c r="F191" s="146" t="s">
        <v>4677</v>
      </c>
      <c r="G191" s="146" t="s">
        <v>4677</v>
      </c>
      <c r="H191" s="146" t="s">
        <v>4677</v>
      </c>
      <c r="I191" s="169" t="s">
        <v>4677</v>
      </c>
      <c r="J191" s="146" t="s">
        <v>4678</v>
      </c>
      <c r="K191" s="176" t="s">
        <v>4677</v>
      </c>
      <c r="L191" s="169" t="s">
        <v>4677</v>
      </c>
      <c r="M191" s="169" t="s">
        <v>4677</v>
      </c>
      <c r="N191" s="146" t="s">
        <v>4677</v>
      </c>
      <c r="O191" s="146" t="s">
        <v>4677</v>
      </c>
    </row>
    <row r="192" spans="1:15">
      <c r="A192" s="146" t="s">
        <v>4679</v>
      </c>
      <c r="B192" s="151" t="s">
        <v>4680</v>
      </c>
      <c r="C192" s="146" t="s">
        <v>4679</v>
      </c>
      <c r="D192" s="146" t="s">
        <v>4681</v>
      </c>
      <c r="E192" s="146" t="s">
        <v>4681</v>
      </c>
      <c r="F192" s="146" t="s">
        <v>4680</v>
      </c>
      <c r="G192" s="146" t="s">
        <v>4679</v>
      </c>
      <c r="H192" s="146" t="s">
        <v>4679</v>
      </c>
      <c r="I192" t="s">
        <v>4682</v>
      </c>
      <c r="J192" s="146" t="s">
        <v>4681</v>
      </c>
      <c r="K192" s="146" t="s">
        <v>4682</v>
      </c>
      <c r="L192" t="s">
        <v>4682</v>
      </c>
      <c r="M192" t="s">
        <v>4682</v>
      </c>
      <c r="N192" s="146" t="s">
        <v>4679</v>
      </c>
      <c r="O192" s="146" t="s">
        <v>4679</v>
      </c>
    </row>
    <row r="193" spans="1:15">
      <c r="A193" s="146" t="s">
        <v>4683</v>
      </c>
      <c r="B193" s="151" t="s">
        <v>4684</v>
      </c>
      <c r="C193" s="146" t="s">
        <v>4685</v>
      </c>
      <c r="D193" s="146" t="s">
        <v>4686</v>
      </c>
      <c r="E193" s="146" t="s">
        <v>4687</v>
      </c>
      <c r="F193" s="146" t="s">
        <v>4688</v>
      </c>
      <c r="G193" s="146" t="s">
        <v>4689</v>
      </c>
      <c r="H193" s="146" t="s">
        <v>4690</v>
      </c>
      <c r="I193" t="s">
        <v>4691</v>
      </c>
      <c r="J193" s="146" t="s">
        <v>4692</v>
      </c>
      <c r="K193" s="146" t="s">
        <v>4693</v>
      </c>
      <c r="L193" t="s">
        <v>4694</v>
      </c>
      <c r="M193" t="s">
        <v>4695</v>
      </c>
      <c r="N193" s="146" t="s">
        <v>4696</v>
      </c>
      <c r="O193" s="146" t="s">
        <v>4683</v>
      </c>
    </row>
    <row r="194" spans="1:15">
      <c r="A194" s="146" t="s">
        <v>4697</v>
      </c>
      <c r="B194" s="151" t="s">
        <v>4697</v>
      </c>
      <c r="C194" s="146" t="s">
        <v>4697</v>
      </c>
      <c r="D194" s="146" t="s">
        <v>4698</v>
      </c>
      <c r="E194" s="146" t="s">
        <v>4698</v>
      </c>
      <c r="F194" s="146" t="s">
        <v>4697</v>
      </c>
      <c r="G194" s="146" t="s">
        <v>4697</v>
      </c>
      <c r="H194" s="146" t="s">
        <v>4697</v>
      </c>
      <c r="I194" t="s">
        <v>4699</v>
      </c>
      <c r="J194" s="146" t="s">
        <v>4698</v>
      </c>
      <c r="K194" s="146" t="s">
        <v>4699</v>
      </c>
      <c r="L194" t="s">
        <v>4700</v>
      </c>
      <c r="M194" t="s">
        <v>4701</v>
      </c>
      <c r="N194" s="146" t="s">
        <v>4697</v>
      </c>
      <c r="O194" s="146" t="s">
        <v>4697</v>
      </c>
    </row>
    <row r="195" spans="1:15">
      <c r="A195" s="146" t="s">
        <v>4702</v>
      </c>
      <c r="B195" s="151" t="s">
        <v>4702</v>
      </c>
      <c r="C195" s="146" t="s">
        <v>4702</v>
      </c>
      <c r="D195" s="146" t="s">
        <v>4703</v>
      </c>
      <c r="E195" s="146" t="s">
        <v>4703</v>
      </c>
      <c r="F195" s="146" t="s">
        <v>4702</v>
      </c>
      <c r="G195" s="146" t="s">
        <v>4702</v>
      </c>
      <c r="H195" s="146" t="s">
        <v>4702</v>
      </c>
      <c r="I195" t="s">
        <v>4704</v>
      </c>
      <c r="J195" s="146" t="s">
        <v>4703</v>
      </c>
      <c r="K195" s="146" t="s">
        <v>4704</v>
      </c>
      <c r="L195" t="s">
        <v>4704</v>
      </c>
      <c r="M195" t="s">
        <v>4704</v>
      </c>
      <c r="N195" s="146" t="s">
        <v>4702</v>
      </c>
      <c r="O195" s="146" t="s">
        <v>4702</v>
      </c>
    </row>
    <row r="196" spans="1:15">
      <c r="A196" s="146" t="s">
        <v>4705</v>
      </c>
      <c r="B196" s="151" t="s">
        <v>4706</v>
      </c>
      <c r="C196" s="146" t="s">
        <v>4705</v>
      </c>
      <c r="D196" s="146" t="s">
        <v>4707</v>
      </c>
      <c r="E196" s="146" t="s">
        <v>4707</v>
      </c>
      <c r="F196" s="146" t="s">
        <v>4706</v>
      </c>
      <c r="G196" s="146" t="s">
        <v>4705</v>
      </c>
      <c r="H196" s="146" t="s">
        <v>4705</v>
      </c>
      <c r="I196" t="s">
        <v>4708</v>
      </c>
      <c r="J196" s="146" t="s">
        <v>4707</v>
      </c>
      <c r="K196" s="146" t="s">
        <v>4708</v>
      </c>
      <c r="L196" t="s">
        <v>4708</v>
      </c>
      <c r="M196" t="s">
        <v>4708</v>
      </c>
      <c r="N196" s="146" t="s">
        <v>4705</v>
      </c>
      <c r="O196" s="146" t="s">
        <v>4705</v>
      </c>
    </row>
    <row r="197" spans="1:15">
      <c r="A197" s="146" t="s">
        <v>4709</v>
      </c>
      <c r="B197" s="151" t="s">
        <v>4710</v>
      </c>
      <c r="C197" s="146" t="s">
        <v>4711</v>
      </c>
      <c r="D197" s="146" t="s">
        <v>4712</v>
      </c>
      <c r="E197" s="146" t="s">
        <v>4713</v>
      </c>
      <c r="F197" s="146" t="s">
        <v>4714</v>
      </c>
      <c r="G197" s="146" t="s">
        <v>4715</v>
      </c>
      <c r="H197" s="146" t="s">
        <v>4716</v>
      </c>
      <c r="I197" t="s">
        <v>4717</v>
      </c>
      <c r="J197" s="146" t="s">
        <v>4718</v>
      </c>
      <c r="K197" s="146" t="s">
        <v>4719</v>
      </c>
      <c r="L197" t="s">
        <v>4720</v>
      </c>
      <c r="M197" t="s">
        <v>4721</v>
      </c>
      <c r="N197" s="146" t="s">
        <v>4722</v>
      </c>
      <c r="O197" s="146" t="s">
        <v>4709</v>
      </c>
    </row>
    <row r="198" spans="1:15">
      <c r="A198" s="146" t="s">
        <v>4723</v>
      </c>
      <c r="B198" s="151" t="s">
        <v>4724</v>
      </c>
      <c r="C198" s="146" t="s">
        <v>4725</v>
      </c>
      <c r="D198" s="146" t="s">
        <v>4726</v>
      </c>
      <c r="E198" s="146" t="s">
        <v>4727</v>
      </c>
      <c r="F198" s="146" t="s">
        <v>4728</v>
      </c>
      <c r="G198" s="146" t="s">
        <v>4729</v>
      </c>
      <c r="H198" s="146" t="s">
        <v>4730</v>
      </c>
      <c r="I198" t="s">
        <v>4731</v>
      </c>
      <c r="J198" s="146" t="s">
        <v>4732</v>
      </c>
      <c r="K198" s="146" t="s">
        <v>4733</v>
      </c>
      <c r="L198" t="s">
        <v>4734</v>
      </c>
      <c r="M198" t="s">
        <v>4735</v>
      </c>
      <c r="N198" s="146" t="s">
        <v>4736</v>
      </c>
      <c r="O198" s="146" t="s">
        <v>4723</v>
      </c>
    </row>
    <row r="199" spans="1:15">
      <c r="A199" s="146" t="s">
        <v>4737</v>
      </c>
      <c r="B199" s="151" t="s">
        <v>4737</v>
      </c>
      <c r="C199" s="146" t="s">
        <v>4737</v>
      </c>
      <c r="D199" s="146" t="s">
        <v>4738</v>
      </c>
      <c r="E199" s="146" t="s">
        <v>4738</v>
      </c>
      <c r="F199" s="146" t="s">
        <v>4737</v>
      </c>
      <c r="G199" s="146" t="s">
        <v>4737</v>
      </c>
      <c r="H199" s="146" t="s">
        <v>4737</v>
      </c>
      <c r="I199" t="s">
        <v>4739</v>
      </c>
      <c r="J199" s="146" t="s">
        <v>4738</v>
      </c>
      <c r="K199" s="146" t="s">
        <v>4739</v>
      </c>
      <c r="L199" t="s">
        <v>4739</v>
      </c>
      <c r="M199" t="s">
        <v>4739</v>
      </c>
      <c r="N199" s="146" t="s">
        <v>4737</v>
      </c>
      <c r="O199" s="146" t="s">
        <v>4737</v>
      </c>
    </row>
    <row r="200" spans="1:15">
      <c r="A200" s="146" t="s">
        <v>4740</v>
      </c>
      <c r="B200" s="151" t="s">
        <v>4740</v>
      </c>
      <c r="C200" s="146" t="s">
        <v>4740</v>
      </c>
      <c r="D200" s="146" t="s">
        <v>4740</v>
      </c>
      <c r="E200" s="146" t="s">
        <v>4740</v>
      </c>
      <c r="F200" s="146" t="s">
        <v>4740</v>
      </c>
      <c r="G200" s="146" t="s">
        <v>4740</v>
      </c>
      <c r="H200" s="146" t="s">
        <v>4740</v>
      </c>
      <c r="I200" t="s">
        <v>4741</v>
      </c>
      <c r="J200" s="146" t="s">
        <v>4740</v>
      </c>
      <c r="K200" s="146" t="s">
        <v>4741</v>
      </c>
      <c r="L200" t="s">
        <v>4741</v>
      </c>
      <c r="M200" t="s">
        <v>4741</v>
      </c>
      <c r="N200" s="146" t="s">
        <v>4740</v>
      </c>
      <c r="O200" s="146" t="s">
        <v>4740</v>
      </c>
    </row>
    <row r="201" spans="1:15">
      <c r="A201" s="146" t="s">
        <v>4742</v>
      </c>
      <c r="B201" s="151" t="s">
        <v>4743</v>
      </c>
      <c r="C201" s="146" t="s">
        <v>4744</v>
      </c>
      <c r="D201" s="146" t="s">
        <v>4745</v>
      </c>
      <c r="E201" s="146" t="s">
        <v>4745</v>
      </c>
      <c r="F201" s="146" t="s">
        <v>4743</v>
      </c>
      <c r="G201" s="146" t="s">
        <v>4742</v>
      </c>
      <c r="H201" s="146" t="s">
        <v>4742</v>
      </c>
      <c r="I201" t="s">
        <v>4746</v>
      </c>
      <c r="J201" s="146" t="s">
        <v>4745</v>
      </c>
      <c r="K201" s="146" t="s">
        <v>4747</v>
      </c>
      <c r="L201" t="s">
        <v>4747</v>
      </c>
      <c r="M201" t="s">
        <v>4748</v>
      </c>
      <c r="N201" s="146" t="s">
        <v>4742</v>
      </c>
      <c r="O201" s="146" t="s">
        <v>4742</v>
      </c>
    </row>
    <row r="202" spans="1:15">
      <c r="A202" s="146" t="s">
        <v>4749</v>
      </c>
      <c r="B202" s="151" t="s">
        <v>4750</v>
      </c>
      <c r="C202" s="146" t="s">
        <v>4751</v>
      </c>
      <c r="D202" s="146" t="s">
        <v>4752</v>
      </c>
      <c r="E202" s="146" t="s">
        <v>4753</v>
      </c>
      <c r="F202" s="146" t="s">
        <v>4754</v>
      </c>
      <c r="G202" s="146" t="s">
        <v>4755</v>
      </c>
      <c r="H202" s="146" t="s">
        <v>4756</v>
      </c>
      <c r="I202" t="s">
        <v>4757</v>
      </c>
      <c r="J202" s="146" t="s">
        <v>4758</v>
      </c>
      <c r="K202" s="146" t="s">
        <v>4759</v>
      </c>
      <c r="L202" t="s">
        <v>4760</v>
      </c>
      <c r="M202" t="s">
        <v>4761</v>
      </c>
      <c r="N202" s="146" t="s">
        <v>4762</v>
      </c>
      <c r="O202" s="146" t="s">
        <v>4749</v>
      </c>
    </row>
    <row r="203" spans="1:15">
      <c r="A203" s="146" t="s">
        <v>4763</v>
      </c>
      <c r="B203" s="151" t="s">
        <v>4764</v>
      </c>
      <c r="C203" s="146" t="s">
        <v>4765</v>
      </c>
      <c r="D203" s="146" t="s">
        <v>4766</v>
      </c>
      <c r="E203" s="146" t="s">
        <v>4767</v>
      </c>
      <c r="F203" s="146" t="s">
        <v>4768</v>
      </c>
      <c r="G203" s="146" t="s">
        <v>4763</v>
      </c>
      <c r="H203" s="146" t="s">
        <v>4769</v>
      </c>
      <c r="I203" t="s">
        <v>4770</v>
      </c>
      <c r="J203" s="146" t="s">
        <v>4771</v>
      </c>
      <c r="K203" s="146" t="s">
        <v>4772</v>
      </c>
      <c r="L203" t="s">
        <v>4773</v>
      </c>
      <c r="M203" t="s">
        <v>4774</v>
      </c>
      <c r="N203" s="146" t="s">
        <v>4775</v>
      </c>
      <c r="O203" s="146" t="s">
        <v>4763</v>
      </c>
    </row>
    <row r="204" spans="1:15">
      <c r="A204" s="146" t="s">
        <v>4776</v>
      </c>
      <c r="B204" s="146" t="s">
        <v>4776</v>
      </c>
      <c r="C204" s="146" t="s">
        <v>4776</v>
      </c>
      <c r="D204" s="146" t="s">
        <v>4776</v>
      </c>
      <c r="E204" s="146" t="s">
        <v>4776</v>
      </c>
      <c r="F204" s="146" t="s">
        <v>4776</v>
      </c>
      <c r="G204" s="146" t="s">
        <v>4776</v>
      </c>
      <c r="H204" s="146" t="s">
        <v>4776</v>
      </c>
      <c r="I204" s="146" t="s">
        <v>4776</v>
      </c>
      <c r="J204" s="146" t="s">
        <v>4776</v>
      </c>
      <c r="K204" s="146" t="s">
        <v>4776</v>
      </c>
      <c r="L204" s="146" t="s">
        <v>4776</v>
      </c>
      <c r="M204" s="146" t="s">
        <v>4776</v>
      </c>
      <c r="N204" s="146" t="s">
        <v>4776</v>
      </c>
      <c r="O204" s="146" t="s">
        <v>4776</v>
      </c>
    </row>
    <row r="205" spans="1:15">
      <c r="A205" s="146" t="s">
        <v>4777</v>
      </c>
      <c r="B205" s="151" t="s">
        <v>4778</v>
      </c>
      <c r="C205" s="146" t="s">
        <v>4779</v>
      </c>
      <c r="D205" s="146" t="s">
        <v>4780</v>
      </c>
      <c r="E205" s="146" t="s">
        <v>4781</v>
      </c>
      <c r="F205" s="146" t="s">
        <v>4778</v>
      </c>
      <c r="G205" s="146" t="s">
        <v>4777</v>
      </c>
      <c r="H205" s="146" t="s">
        <v>4777</v>
      </c>
      <c r="I205" t="s">
        <v>4782</v>
      </c>
      <c r="J205" s="146" t="s">
        <v>4781</v>
      </c>
      <c r="K205" s="146" t="s">
        <v>4783</v>
      </c>
      <c r="L205" t="s">
        <v>4783</v>
      </c>
      <c r="M205" t="s">
        <v>4784</v>
      </c>
      <c r="N205" s="146" t="s">
        <v>4777</v>
      </c>
      <c r="O205" s="146" t="s">
        <v>4777</v>
      </c>
    </row>
    <row r="206" spans="1:15">
      <c r="A206" s="146" t="s">
        <v>4785</v>
      </c>
      <c r="B206" s="151" t="s">
        <v>4786</v>
      </c>
      <c r="C206" s="146" t="s">
        <v>4787</v>
      </c>
      <c r="D206" s="146" t="s">
        <v>4788</v>
      </c>
      <c r="E206" s="146" t="s">
        <v>4789</v>
      </c>
      <c r="F206" s="146" t="s">
        <v>4790</v>
      </c>
      <c r="G206" s="146" t="s">
        <v>4791</v>
      </c>
      <c r="H206" s="146" t="s">
        <v>4792</v>
      </c>
      <c r="I206" t="s">
        <v>4793</v>
      </c>
      <c r="J206" s="146" t="s">
        <v>4794</v>
      </c>
      <c r="K206" s="146" t="s">
        <v>4795</v>
      </c>
      <c r="L206" t="s">
        <v>4796</v>
      </c>
      <c r="M206" t="s">
        <v>4797</v>
      </c>
      <c r="N206" s="146" t="s">
        <v>4798</v>
      </c>
      <c r="O206" s="146" t="s">
        <v>4785</v>
      </c>
    </row>
    <row r="207" spans="1:15">
      <c r="A207" s="146" t="s">
        <v>4799</v>
      </c>
      <c r="B207" s="151" t="s">
        <v>4800</v>
      </c>
      <c r="C207" s="146" t="s">
        <v>4799</v>
      </c>
      <c r="D207" s="146" t="s">
        <v>4801</v>
      </c>
      <c r="E207" s="146" t="s">
        <v>4801</v>
      </c>
      <c r="F207" s="146" t="s">
        <v>4800</v>
      </c>
      <c r="G207" s="146" t="s">
        <v>4799</v>
      </c>
      <c r="H207" s="146" t="s">
        <v>4799</v>
      </c>
      <c r="I207" t="s">
        <v>4802</v>
      </c>
      <c r="J207" s="146" t="s">
        <v>4801</v>
      </c>
      <c r="K207" s="146" t="s">
        <v>4802</v>
      </c>
      <c r="L207" t="s">
        <v>4802</v>
      </c>
      <c r="M207" t="s">
        <v>4802</v>
      </c>
      <c r="N207" s="146" t="s">
        <v>4799</v>
      </c>
      <c r="O207" s="146" t="s">
        <v>4799</v>
      </c>
    </row>
    <row r="208" spans="1:15">
      <c r="A208" s="146" t="s">
        <v>4803</v>
      </c>
      <c r="B208" s="151" t="s">
        <v>4804</v>
      </c>
      <c r="C208" s="146" t="s">
        <v>4805</v>
      </c>
      <c r="D208" s="146" t="s">
        <v>4806</v>
      </c>
      <c r="E208" s="146" t="s">
        <v>4807</v>
      </c>
      <c r="F208" s="146" t="s">
        <v>4808</v>
      </c>
      <c r="G208" s="146" t="s">
        <v>4809</v>
      </c>
      <c r="H208" s="146" t="s">
        <v>4810</v>
      </c>
      <c r="I208" t="s">
        <v>4811</v>
      </c>
      <c r="J208" s="146" t="s">
        <v>4812</v>
      </c>
      <c r="K208" s="146" t="s">
        <v>4813</v>
      </c>
      <c r="L208" t="s">
        <v>4814</v>
      </c>
      <c r="M208" t="s">
        <v>4815</v>
      </c>
      <c r="N208" s="146" t="s">
        <v>4816</v>
      </c>
      <c r="O208" s="146" t="s">
        <v>4803</v>
      </c>
    </row>
    <row r="209" spans="1:15">
      <c r="A209" s="146" t="s">
        <v>4817</v>
      </c>
      <c r="B209" s="146" t="s">
        <v>4817</v>
      </c>
      <c r="C209" s="146" t="s">
        <v>4817</v>
      </c>
      <c r="D209" s="146" t="s">
        <v>4817</v>
      </c>
      <c r="E209" s="146" t="s">
        <v>4817</v>
      </c>
      <c r="F209" s="146" t="s">
        <v>4817</v>
      </c>
      <c r="G209" s="146" t="s">
        <v>4817</v>
      </c>
      <c r="H209" s="146" t="s">
        <v>4817</v>
      </c>
      <c r="I209" s="146" t="s">
        <v>4817</v>
      </c>
      <c r="J209" s="146" t="s">
        <v>4817</v>
      </c>
      <c r="K209" s="146" t="s">
        <v>4817</v>
      </c>
      <c r="L209" s="146" t="s">
        <v>4817</v>
      </c>
      <c r="M209" s="146" t="s">
        <v>4817</v>
      </c>
      <c r="N209" s="146" t="s">
        <v>4817</v>
      </c>
      <c r="O209" s="146" t="s">
        <v>4817</v>
      </c>
    </row>
    <row r="210" spans="1:15">
      <c r="A210" s="146" t="s">
        <v>4818</v>
      </c>
      <c r="B210" s="151" t="s">
        <v>4819</v>
      </c>
      <c r="C210" s="146" t="s">
        <v>4820</v>
      </c>
      <c r="D210" s="146" t="s">
        <v>4821</v>
      </c>
      <c r="E210" s="146" t="s">
        <v>4822</v>
      </c>
      <c r="F210" s="146" t="s">
        <v>4823</v>
      </c>
      <c r="G210" s="146" t="s">
        <v>4824</v>
      </c>
      <c r="H210" s="146" t="s">
        <v>4825</v>
      </c>
      <c r="I210" t="s">
        <v>4826</v>
      </c>
      <c r="J210" s="146" t="s">
        <v>4827</v>
      </c>
      <c r="K210" s="146" t="s">
        <v>4828</v>
      </c>
      <c r="L210" t="s">
        <v>4829</v>
      </c>
      <c r="M210" t="s">
        <v>4830</v>
      </c>
      <c r="N210" s="146" t="s">
        <v>4831</v>
      </c>
      <c r="O210" s="146" t="s">
        <v>4818</v>
      </c>
    </row>
    <row r="211" spans="1:15">
      <c r="A211" s="146" t="s">
        <v>4832</v>
      </c>
      <c r="B211" s="151" t="s">
        <v>4833</v>
      </c>
      <c r="C211" s="146" t="s">
        <v>4834</v>
      </c>
      <c r="D211" s="146" t="s">
        <v>4835</v>
      </c>
      <c r="E211" s="146" t="s">
        <v>3944</v>
      </c>
      <c r="F211" s="146" t="s">
        <v>4836</v>
      </c>
      <c r="G211" s="146" t="s">
        <v>4837</v>
      </c>
      <c r="H211" s="146" t="s">
        <v>4838</v>
      </c>
      <c r="I211" t="s">
        <v>4839</v>
      </c>
      <c r="J211" s="146" t="s">
        <v>3949</v>
      </c>
      <c r="K211" s="146" t="s">
        <v>4840</v>
      </c>
      <c r="L211" t="s">
        <v>4841</v>
      </c>
      <c r="M211" t="s">
        <v>4842</v>
      </c>
      <c r="N211" s="146" t="s">
        <v>4843</v>
      </c>
      <c r="O211" s="146" t="s">
        <v>4832</v>
      </c>
    </row>
    <row r="212" spans="1:15">
      <c r="A212" s="146" t="s">
        <v>1078</v>
      </c>
      <c r="B212" s="151" t="s">
        <v>4844</v>
      </c>
      <c r="C212" s="146" t="s">
        <v>4844</v>
      </c>
      <c r="D212" s="146" t="s">
        <v>4845</v>
      </c>
      <c r="E212" s="146" t="s">
        <v>4846</v>
      </c>
      <c r="F212" s="146" t="s">
        <v>4847</v>
      </c>
      <c r="G212" s="146" t="s">
        <v>4848</v>
      </c>
      <c r="H212" s="146" t="s">
        <v>4849</v>
      </c>
      <c r="I212" t="s">
        <v>4850</v>
      </c>
      <c r="J212" s="146" t="s">
        <v>4851</v>
      </c>
      <c r="K212" s="146" t="s">
        <v>4852</v>
      </c>
      <c r="L212" t="s">
        <v>4852</v>
      </c>
      <c r="M212" t="s">
        <v>4853</v>
      </c>
      <c r="N212" s="146" t="s">
        <v>4854</v>
      </c>
      <c r="O212" s="146" t="s">
        <v>1078</v>
      </c>
    </row>
    <row r="213" spans="1:15">
      <c r="A213" s="146" t="s">
        <v>4855</v>
      </c>
      <c r="B213" s="151" t="s">
        <v>4856</v>
      </c>
      <c r="C213" s="146" t="s">
        <v>4857</v>
      </c>
      <c r="D213" s="146" t="s">
        <v>4858</v>
      </c>
      <c r="E213" s="146" t="s">
        <v>4859</v>
      </c>
      <c r="F213" s="146" t="s">
        <v>4860</v>
      </c>
      <c r="G213" s="146" t="s">
        <v>4861</v>
      </c>
      <c r="H213" s="146" t="s">
        <v>4862</v>
      </c>
      <c r="I213" t="s">
        <v>4863</v>
      </c>
      <c r="J213" s="146" t="s">
        <v>4864</v>
      </c>
      <c r="K213" s="146" t="s">
        <v>4865</v>
      </c>
      <c r="L213" t="s">
        <v>4866</v>
      </c>
      <c r="M213" t="s">
        <v>4865</v>
      </c>
      <c r="N213" s="146" t="s">
        <v>4867</v>
      </c>
      <c r="O213" s="146" t="s">
        <v>4855</v>
      </c>
    </row>
    <row r="214" spans="1:15">
      <c r="A214" s="146" t="s">
        <v>74</v>
      </c>
      <c r="B214" s="151" t="s">
        <v>4868</v>
      </c>
      <c r="C214" s="146" t="s">
        <v>4869</v>
      </c>
      <c r="D214" s="146" t="s">
        <v>4870</v>
      </c>
      <c r="E214" s="146" t="s">
        <v>4871</v>
      </c>
      <c r="F214" s="146" t="s">
        <v>4872</v>
      </c>
      <c r="G214" s="146" t="s">
        <v>4873</v>
      </c>
      <c r="H214" s="146" t="s">
        <v>4874</v>
      </c>
      <c r="I214" t="s">
        <v>4875</v>
      </c>
      <c r="J214" s="146" t="s">
        <v>4876</v>
      </c>
      <c r="K214" s="146" t="s">
        <v>4877</v>
      </c>
      <c r="L214" t="s">
        <v>4877</v>
      </c>
      <c r="M214" t="s">
        <v>4877</v>
      </c>
      <c r="N214" s="146" t="s">
        <v>4878</v>
      </c>
      <c r="O214" s="146" t="s">
        <v>74</v>
      </c>
    </row>
    <row r="215" spans="1:15">
      <c r="A215" s="146" t="s">
        <v>4879</v>
      </c>
      <c r="B215" s="151" t="s">
        <v>4880</v>
      </c>
      <c r="C215" s="146" t="s">
        <v>4881</v>
      </c>
      <c r="D215" s="146" t="s">
        <v>4882</v>
      </c>
      <c r="E215" s="146" t="s">
        <v>4883</v>
      </c>
      <c r="F215" s="146" t="s">
        <v>4884</v>
      </c>
      <c r="G215" s="146" t="s">
        <v>4885</v>
      </c>
      <c r="H215" s="146" t="s">
        <v>4886</v>
      </c>
      <c r="I215" t="s">
        <v>4887</v>
      </c>
      <c r="J215" s="146" t="s">
        <v>4888</v>
      </c>
      <c r="K215" s="176" t="s">
        <v>4889</v>
      </c>
      <c r="L215" t="s">
        <v>4890</v>
      </c>
      <c r="M215" t="s">
        <v>4891</v>
      </c>
      <c r="N215" s="146" t="s">
        <v>4892</v>
      </c>
      <c r="O215" s="146" t="s">
        <v>4879</v>
      </c>
    </row>
    <row r="216" spans="1:15">
      <c r="A216" s="146" t="s">
        <v>4893</v>
      </c>
      <c r="B216" s="151" t="s">
        <v>4894</v>
      </c>
      <c r="C216" s="146" t="s">
        <v>4895</v>
      </c>
      <c r="D216" s="146" t="s">
        <v>4896</v>
      </c>
      <c r="E216" s="146" t="s">
        <v>4897</v>
      </c>
      <c r="F216" s="146" t="s">
        <v>4898</v>
      </c>
      <c r="G216" s="146" t="s">
        <v>4899</v>
      </c>
      <c r="H216" s="146" t="s">
        <v>4900</v>
      </c>
      <c r="I216" t="s">
        <v>4901</v>
      </c>
      <c r="J216" s="146" t="s">
        <v>4902</v>
      </c>
      <c r="K216" s="146" t="s">
        <v>4903</v>
      </c>
      <c r="L216" t="s">
        <v>4904</v>
      </c>
      <c r="M216" t="s">
        <v>4903</v>
      </c>
      <c r="N216" s="146" t="s">
        <v>4905</v>
      </c>
      <c r="O216" s="146" t="s">
        <v>4893</v>
      </c>
    </row>
    <row r="217" spans="1:15">
      <c r="A217" s="146" t="s">
        <v>4906</v>
      </c>
      <c r="B217" s="151" t="s">
        <v>4907</v>
      </c>
      <c r="C217" s="146" t="s">
        <v>4908</v>
      </c>
      <c r="D217" s="146" t="s">
        <v>4909</v>
      </c>
      <c r="E217" s="146" t="s">
        <v>4910</v>
      </c>
      <c r="F217" s="146" t="s">
        <v>4911</v>
      </c>
      <c r="G217" s="146" t="s">
        <v>4912</v>
      </c>
      <c r="H217" s="146" t="s">
        <v>4913</v>
      </c>
      <c r="I217" t="s">
        <v>4914</v>
      </c>
      <c r="J217" s="146" t="s">
        <v>4915</v>
      </c>
      <c r="K217" s="146" t="s">
        <v>4916</v>
      </c>
      <c r="L217" t="s">
        <v>4917</v>
      </c>
      <c r="M217" t="s">
        <v>4918</v>
      </c>
      <c r="N217" s="146" t="s">
        <v>4919</v>
      </c>
      <c r="O217" s="146" t="s">
        <v>4906</v>
      </c>
    </row>
    <row r="218" spans="1:15">
      <c r="A218" s="146" t="s">
        <v>4920</v>
      </c>
      <c r="B218" s="151" t="s">
        <v>4921</v>
      </c>
      <c r="C218" s="146" t="s">
        <v>4922</v>
      </c>
      <c r="D218" s="146" t="s">
        <v>4923</v>
      </c>
      <c r="E218" s="146" t="s">
        <v>4924</v>
      </c>
      <c r="F218" s="146" t="s">
        <v>4925</v>
      </c>
      <c r="G218" s="146" t="s">
        <v>4926</v>
      </c>
      <c r="H218" s="146" t="s">
        <v>4927</v>
      </c>
      <c r="I218" t="s">
        <v>4928</v>
      </c>
      <c r="J218" s="146" t="s">
        <v>4929</v>
      </c>
      <c r="K218" s="146" t="s">
        <v>4930</v>
      </c>
      <c r="L218" t="s">
        <v>4931</v>
      </c>
      <c r="M218" t="s">
        <v>4932</v>
      </c>
      <c r="N218" s="146" t="s">
        <v>4933</v>
      </c>
      <c r="O218" s="146" t="s">
        <v>4920</v>
      </c>
    </row>
    <row r="219" spans="1:15">
      <c r="A219" s="146" t="s">
        <v>4934</v>
      </c>
      <c r="B219" s="151" t="s">
        <v>4935</v>
      </c>
      <c r="C219" s="146" t="s">
        <v>4936</v>
      </c>
      <c r="D219" s="146" t="s">
        <v>4937</v>
      </c>
      <c r="E219" s="146" t="s">
        <v>4938</v>
      </c>
      <c r="F219" s="146" t="s">
        <v>4939</v>
      </c>
      <c r="G219" s="146" t="s">
        <v>4940</v>
      </c>
      <c r="H219" s="146" t="s">
        <v>4941</v>
      </c>
      <c r="I219" t="s">
        <v>4942</v>
      </c>
      <c r="J219" s="146" t="s">
        <v>4943</v>
      </c>
      <c r="K219" s="146" t="s">
        <v>4944</v>
      </c>
      <c r="L219" t="s">
        <v>4945</v>
      </c>
      <c r="M219" t="s">
        <v>4946</v>
      </c>
      <c r="N219" s="146" t="s">
        <v>4947</v>
      </c>
      <c r="O219" s="146" t="s">
        <v>4934</v>
      </c>
    </row>
    <row r="220" spans="1:15">
      <c r="A220" s="146" t="s">
        <v>4948</v>
      </c>
      <c r="B220" s="151" t="s">
        <v>4949</v>
      </c>
      <c r="C220" s="146" t="s">
        <v>4950</v>
      </c>
      <c r="D220" s="146" t="s">
        <v>4951</v>
      </c>
      <c r="E220" s="146" t="s">
        <v>4952</v>
      </c>
      <c r="F220" s="146" t="s">
        <v>4953</v>
      </c>
      <c r="G220" s="146" t="s">
        <v>4954</v>
      </c>
      <c r="H220" s="146" t="s">
        <v>4955</v>
      </c>
      <c r="I220" t="s">
        <v>4956</v>
      </c>
      <c r="J220" s="146" t="s">
        <v>4957</v>
      </c>
      <c r="K220" s="146" t="s">
        <v>4958</v>
      </c>
      <c r="L220" t="s">
        <v>4959</v>
      </c>
      <c r="M220" t="s">
        <v>4958</v>
      </c>
      <c r="N220" s="146" t="s">
        <v>4960</v>
      </c>
      <c r="O220" s="146" t="s">
        <v>4948</v>
      </c>
    </row>
    <row r="221" spans="1:15">
      <c r="A221" s="146" t="s">
        <v>4961</v>
      </c>
      <c r="B221" s="151" t="s">
        <v>4962</v>
      </c>
      <c r="C221" s="146" t="s">
        <v>4963</v>
      </c>
      <c r="D221" s="146" t="s">
        <v>4964</v>
      </c>
      <c r="E221" s="146" t="s">
        <v>4965</v>
      </c>
      <c r="F221" s="146" t="s">
        <v>4966</v>
      </c>
      <c r="G221" s="146" t="s">
        <v>4967</v>
      </c>
      <c r="H221" s="146" t="s">
        <v>4968</v>
      </c>
      <c r="I221" t="s">
        <v>4969</v>
      </c>
      <c r="J221" s="146" t="s">
        <v>4970</v>
      </c>
      <c r="K221" s="146" t="s">
        <v>4971</v>
      </c>
      <c r="L221" t="s">
        <v>4972</v>
      </c>
      <c r="M221" t="s">
        <v>4973</v>
      </c>
      <c r="N221" s="146" t="s">
        <v>4974</v>
      </c>
      <c r="O221" s="146" t="s">
        <v>4961</v>
      </c>
    </row>
    <row r="222" spans="1:15">
      <c r="A222" s="146" t="s">
        <v>4975</v>
      </c>
      <c r="B222" s="151" t="s">
        <v>4976</v>
      </c>
      <c r="C222" s="146" t="s">
        <v>4977</v>
      </c>
      <c r="D222" s="146" t="s">
        <v>4978</v>
      </c>
      <c r="E222" s="146" t="s">
        <v>4979</v>
      </c>
      <c r="F222" s="146" t="s">
        <v>4980</v>
      </c>
      <c r="G222" s="146" t="s">
        <v>4981</v>
      </c>
      <c r="H222" s="146" t="s">
        <v>4982</v>
      </c>
      <c r="I222" t="s">
        <v>4983</v>
      </c>
      <c r="J222" s="146" t="s">
        <v>4984</v>
      </c>
      <c r="K222" s="146" t="s">
        <v>4985</v>
      </c>
      <c r="L222" t="s">
        <v>4986</v>
      </c>
      <c r="M222" t="s">
        <v>4987</v>
      </c>
      <c r="N222" s="146" t="s">
        <v>4988</v>
      </c>
      <c r="O222" s="146" t="s">
        <v>4975</v>
      </c>
    </row>
    <row r="223" spans="1:15">
      <c r="A223" s="146" t="s">
        <v>79</v>
      </c>
      <c r="B223" s="151" t="s">
        <v>4989</v>
      </c>
      <c r="C223" s="146" t="s">
        <v>4990</v>
      </c>
      <c r="D223" s="146" t="s">
        <v>4991</v>
      </c>
      <c r="E223" s="146" t="s">
        <v>4992</v>
      </c>
      <c r="F223" s="146" t="s">
        <v>4993</v>
      </c>
      <c r="G223" s="146" t="s">
        <v>4994</v>
      </c>
      <c r="H223" s="146" t="s">
        <v>4995</v>
      </c>
      <c r="I223" t="s">
        <v>4996</v>
      </c>
      <c r="J223" s="146" t="s">
        <v>4997</v>
      </c>
      <c r="K223" s="146" t="s">
        <v>4998</v>
      </c>
      <c r="L223" t="s">
        <v>4999</v>
      </c>
      <c r="M223" t="s">
        <v>4999</v>
      </c>
      <c r="N223" s="146" t="s">
        <v>5000</v>
      </c>
      <c r="O223" s="146" t="s">
        <v>79</v>
      </c>
    </row>
    <row r="224" spans="1:15">
      <c r="A224" s="146" t="s">
        <v>5001</v>
      </c>
      <c r="B224" s="151" t="s">
        <v>5002</v>
      </c>
      <c r="C224" s="146" t="s">
        <v>5003</v>
      </c>
      <c r="D224" s="146" t="s">
        <v>5004</v>
      </c>
      <c r="E224" s="146" t="s">
        <v>5005</v>
      </c>
      <c r="F224" s="146" t="s">
        <v>5006</v>
      </c>
      <c r="G224" s="146" t="s">
        <v>5007</v>
      </c>
      <c r="H224" s="146" t="s">
        <v>5008</v>
      </c>
      <c r="I224" t="s">
        <v>5009</v>
      </c>
      <c r="J224" s="146" t="s">
        <v>5010</v>
      </c>
      <c r="K224" s="146" t="s">
        <v>5009</v>
      </c>
      <c r="L224" t="s">
        <v>5009</v>
      </c>
      <c r="M224" t="s">
        <v>5009</v>
      </c>
      <c r="N224" s="146" t="s">
        <v>5010</v>
      </c>
      <c r="O224" s="146" t="s">
        <v>5001</v>
      </c>
    </row>
    <row r="225" spans="1:15">
      <c r="A225" s="146" t="s">
        <v>5011</v>
      </c>
      <c r="B225" s="151" t="s">
        <v>5012</v>
      </c>
      <c r="C225" s="146" t="s">
        <v>5012</v>
      </c>
      <c r="D225" s="146" t="s">
        <v>5013</v>
      </c>
      <c r="E225" s="146" t="s">
        <v>5014</v>
      </c>
      <c r="F225" s="146" t="s">
        <v>5015</v>
      </c>
      <c r="G225" s="146" t="s">
        <v>5016</v>
      </c>
      <c r="H225" s="146" t="s">
        <v>5017</v>
      </c>
      <c r="I225" t="s">
        <v>5018</v>
      </c>
      <c r="J225" s="146" t="s">
        <v>5019</v>
      </c>
      <c r="K225" s="146" t="s">
        <v>5020</v>
      </c>
      <c r="L225" t="s">
        <v>5018</v>
      </c>
      <c r="M225" t="s">
        <v>5018</v>
      </c>
      <c r="N225" s="146" t="s">
        <v>5021</v>
      </c>
      <c r="O225" s="146" t="s">
        <v>5011</v>
      </c>
    </row>
    <row r="226" spans="1:15">
      <c r="A226" s="146" t="s">
        <v>5022</v>
      </c>
      <c r="B226" s="151" t="s">
        <v>5023</v>
      </c>
      <c r="C226" s="146" t="s">
        <v>5024</v>
      </c>
      <c r="D226" s="146" t="s">
        <v>5025</v>
      </c>
      <c r="E226" s="146" t="s">
        <v>5026</v>
      </c>
      <c r="F226" s="146" t="s">
        <v>5027</v>
      </c>
      <c r="G226" s="146" t="s">
        <v>5028</v>
      </c>
      <c r="H226" s="146" t="s">
        <v>5029</v>
      </c>
      <c r="I226" t="s">
        <v>5030</v>
      </c>
      <c r="J226" s="146" t="s">
        <v>5031</v>
      </c>
      <c r="K226" s="146" t="s">
        <v>5032</v>
      </c>
      <c r="L226" t="s">
        <v>5033</v>
      </c>
      <c r="M226" t="s">
        <v>5034</v>
      </c>
      <c r="N226" s="146" t="s">
        <v>5035</v>
      </c>
      <c r="O226" s="146" t="s">
        <v>5022</v>
      </c>
    </row>
    <row r="227" spans="1:15">
      <c r="A227" s="146" t="s">
        <v>82</v>
      </c>
      <c r="B227" s="151" t="s">
        <v>5036</v>
      </c>
      <c r="C227" s="146" t="s">
        <v>5037</v>
      </c>
      <c r="D227" s="146" t="s">
        <v>5038</v>
      </c>
      <c r="E227" s="146" t="s">
        <v>5039</v>
      </c>
      <c r="F227" s="146" t="s">
        <v>5040</v>
      </c>
      <c r="G227" s="146" t="s">
        <v>5041</v>
      </c>
      <c r="H227" s="146" t="s">
        <v>5042</v>
      </c>
      <c r="I227" t="s">
        <v>5043</v>
      </c>
      <c r="J227" s="146" t="s">
        <v>5044</v>
      </c>
      <c r="K227" s="146" t="s">
        <v>5045</v>
      </c>
      <c r="L227" t="s">
        <v>5046</v>
      </c>
      <c r="M227" t="s">
        <v>5047</v>
      </c>
      <c r="N227" s="146" t="s">
        <v>5048</v>
      </c>
      <c r="O227" s="146" t="s">
        <v>82</v>
      </c>
    </row>
    <row r="228" spans="1:15">
      <c r="A228" s="146" t="s">
        <v>5049</v>
      </c>
      <c r="B228" s="151" t="s">
        <v>5049</v>
      </c>
      <c r="C228" s="146" t="s">
        <v>5049</v>
      </c>
      <c r="D228" s="146" t="s">
        <v>5050</v>
      </c>
      <c r="E228" s="146" t="s">
        <v>5051</v>
      </c>
      <c r="F228" s="146" t="s">
        <v>5052</v>
      </c>
      <c r="G228" s="146" t="s">
        <v>5053</v>
      </c>
      <c r="H228" s="146" t="s">
        <v>5054</v>
      </c>
      <c r="I228" t="s">
        <v>5055</v>
      </c>
      <c r="J228" s="146" t="s">
        <v>5056</v>
      </c>
      <c r="K228" s="146" t="s">
        <v>5057</v>
      </c>
      <c r="L228" t="s">
        <v>5057</v>
      </c>
      <c r="M228" t="s">
        <v>5057</v>
      </c>
      <c r="N228" s="146" t="s">
        <v>5058</v>
      </c>
      <c r="O228" s="146" t="s">
        <v>5049</v>
      </c>
    </row>
    <row r="229" spans="1:15">
      <c r="A229" s="146" t="s">
        <v>81</v>
      </c>
      <c r="B229" s="151" t="s">
        <v>5059</v>
      </c>
      <c r="C229" s="146" t="s">
        <v>5060</v>
      </c>
      <c r="D229" s="146" t="s">
        <v>5061</v>
      </c>
      <c r="E229" s="146" t="s">
        <v>5062</v>
      </c>
      <c r="F229" s="146" t="s">
        <v>5063</v>
      </c>
      <c r="G229" s="146" t="s">
        <v>5064</v>
      </c>
      <c r="H229" s="146" t="s">
        <v>5065</v>
      </c>
      <c r="I229" t="s">
        <v>5066</v>
      </c>
      <c r="J229" s="146" t="s">
        <v>5061</v>
      </c>
      <c r="K229" s="146" t="s">
        <v>5067</v>
      </c>
      <c r="L229" t="s">
        <v>5068</v>
      </c>
      <c r="M229" t="s">
        <v>5069</v>
      </c>
      <c r="N229" s="146" t="s">
        <v>5070</v>
      </c>
      <c r="O229" s="146" t="s">
        <v>81</v>
      </c>
    </row>
    <row r="230" spans="1:15">
      <c r="A230" s="146" t="s">
        <v>5071</v>
      </c>
      <c r="B230" s="151" t="s">
        <v>5072</v>
      </c>
      <c r="C230" s="146" t="s">
        <v>5073</v>
      </c>
      <c r="D230" s="146" t="s">
        <v>5074</v>
      </c>
      <c r="E230" s="146" t="s">
        <v>5075</v>
      </c>
      <c r="F230" s="146" t="s">
        <v>5076</v>
      </c>
      <c r="G230" s="146" t="s">
        <v>5077</v>
      </c>
      <c r="H230" s="146" t="s">
        <v>5078</v>
      </c>
      <c r="I230" t="s">
        <v>5079</v>
      </c>
      <c r="J230" s="146" t="s">
        <v>5080</v>
      </c>
      <c r="K230" s="146" t="s">
        <v>5081</v>
      </c>
      <c r="L230" t="s">
        <v>5082</v>
      </c>
      <c r="M230" t="s">
        <v>5083</v>
      </c>
      <c r="N230" s="146" t="s">
        <v>5084</v>
      </c>
      <c r="O230" s="146" t="s">
        <v>5071</v>
      </c>
    </row>
    <row r="231" spans="1:15">
      <c r="A231" s="146" t="s">
        <v>5085</v>
      </c>
      <c r="B231" s="151" t="s">
        <v>5086</v>
      </c>
      <c r="C231" s="146" t="s">
        <v>5087</v>
      </c>
      <c r="D231" s="146" t="s">
        <v>5088</v>
      </c>
      <c r="E231" s="146" t="s">
        <v>5089</v>
      </c>
      <c r="F231" s="146" t="s">
        <v>5090</v>
      </c>
      <c r="G231" s="146" t="s">
        <v>5091</v>
      </c>
      <c r="H231" s="146" t="s">
        <v>5092</v>
      </c>
      <c r="I231" t="s">
        <v>5093</v>
      </c>
      <c r="J231" s="146" t="s">
        <v>5094</v>
      </c>
      <c r="K231" s="146" t="s">
        <v>5095</v>
      </c>
      <c r="L231" t="s">
        <v>5096</v>
      </c>
      <c r="M231" t="s">
        <v>5097</v>
      </c>
      <c r="N231" s="146" t="s">
        <v>5098</v>
      </c>
      <c r="O231" s="146" t="s">
        <v>5085</v>
      </c>
    </row>
    <row r="232" spans="1:15">
      <c r="A232" s="146" t="s">
        <v>78</v>
      </c>
      <c r="B232" s="151" t="s">
        <v>5099</v>
      </c>
      <c r="C232" s="146" t="s">
        <v>5100</v>
      </c>
      <c r="D232" s="146" t="s">
        <v>5101</v>
      </c>
      <c r="E232" s="146" t="s">
        <v>5102</v>
      </c>
      <c r="F232" s="146" t="s">
        <v>5103</v>
      </c>
      <c r="G232" s="146" t="s">
        <v>5104</v>
      </c>
      <c r="H232" s="146" t="s">
        <v>5105</v>
      </c>
      <c r="I232" t="s">
        <v>5106</v>
      </c>
      <c r="J232" s="146" t="s">
        <v>5107</v>
      </c>
      <c r="K232" s="146" t="s">
        <v>5108</v>
      </c>
      <c r="L232" t="s">
        <v>5109</v>
      </c>
      <c r="M232" t="s">
        <v>5110</v>
      </c>
      <c r="N232" s="146" t="s">
        <v>5111</v>
      </c>
      <c r="O232" s="146" t="s">
        <v>78</v>
      </c>
    </row>
    <row r="233" spans="1:15">
      <c r="A233" s="146" t="s">
        <v>5112</v>
      </c>
      <c r="B233" s="151" t="s">
        <v>5113</v>
      </c>
      <c r="C233" s="146" t="s">
        <v>5114</v>
      </c>
      <c r="D233" s="146" t="s">
        <v>5115</v>
      </c>
      <c r="E233" s="146" t="s">
        <v>5116</v>
      </c>
      <c r="F233" s="146" t="s">
        <v>5117</v>
      </c>
      <c r="G233" s="146" t="s">
        <v>5118</v>
      </c>
      <c r="H233" s="146" t="s">
        <v>5119</v>
      </c>
      <c r="I233" t="s">
        <v>5120</v>
      </c>
      <c r="J233" s="146" t="s">
        <v>5121</v>
      </c>
      <c r="K233" s="146" t="s">
        <v>5122</v>
      </c>
      <c r="L233" t="s">
        <v>5123</v>
      </c>
      <c r="M233" t="s">
        <v>5124</v>
      </c>
      <c r="N233" s="146" t="s">
        <v>5125</v>
      </c>
      <c r="O233" s="146" t="s">
        <v>5112</v>
      </c>
    </row>
    <row r="234" spans="1:15">
      <c r="A234" s="146" t="s">
        <v>5126</v>
      </c>
      <c r="B234" s="151" t="s">
        <v>5127</v>
      </c>
      <c r="C234" s="146" t="s">
        <v>5128</v>
      </c>
      <c r="D234" s="146" t="s">
        <v>5129</v>
      </c>
      <c r="E234" s="146" t="s">
        <v>5130</v>
      </c>
      <c r="F234" s="146" t="s">
        <v>5131</v>
      </c>
      <c r="G234" s="146" t="s">
        <v>5132</v>
      </c>
      <c r="H234" s="146" t="s">
        <v>5133</v>
      </c>
      <c r="I234" t="s">
        <v>5134</v>
      </c>
      <c r="J234" s="146" t="s">
        <v>5135</v>
      </c>
      <c r="K234" s="146" t="s">
        <v>5136</v>
      </c>
      <c r="L234" t="s">
        <v>5137</v>
      </c>
      <c r="M234" t="s">
        <v>5138</v>
      </c>
      <c r="N234" s="146" t="s">
        <v>5139</v>
      </c>
      <c r="O234" s="146" t="s">
        <v>5126</v>
      </c>
    </row>
    <row r="235" spans="1:15">
      <c r="A235" s="146" t="s">
        <v>5140</v>
      </c>
      <c r="B235" s="151" t="s">
        <v>5141</v>
      </c>
      <c r="C235" s="146" t="s">
        <v>5142</v>
      </c>
      <c r="D235" s="146" t="s">
        <v>5143</v>
      </c>
      <c r="E235" s="146" t="s">
        <v>5144</v>
      </c>
      <c r="F235" s="146" t="s">
        <v>5145</v>
      </c>
      <c r="G235" s="146" t="s">
        <v>5146</v>
      </c>
      <c r="H235" s="146" t="s">
        <v>5147</v>
      </c>
      <c r="I235" t="s">
        <v>5148</v>
      </c>
      <c r="J235" s="146" t="s">
        <v>5149</v>
      </c>
      <c r="K235" s="146" t="s">
        <v>5150</v>
      </c>
      <c r="L235" t="s">
        <v>5151</v>
      </c>
      <c r="M235" t="s">
        <v>5152</v>
      </c>
      <c r="N235" s="146" t="s">
        <v>5153</v>
      </c>
      <c r="O235" s="146" t="s">
        <v>5140</v>
      </c>
    </row>
    <row r="236" spans="1:15">
      <c r="A236" s="146" t="s">
        <v>5154</v>
      </c>
      <c r="B236" s="151" t="s">
        <v>5155</v>
      </c>
      <c r="C236" s="146" t="s">
        <v>5156</v>
      </c>
      <c r="D236" s="146" t="s">
        <v>5157</v>
      </c>
      <c r="E236" s="146" t="s">
        <v>5158</v>
      </c>
      <c r="F236" s="146" t="s">
        <v>5159</v>
      </c>
      <c r="G236" s="146" t="s">
        <v>5160</v>
      </c>
      <c r="H236" s="146" t="s">
        <v>5161</v>
      </c>
      <c r="I236" t="s">
        <v>5162</v>
      </c>
      <c r="J236" s="146" t="s">
        <v>5163</v>
      </c>
      <c r="K236" s="146" t="s">
        <v>5164</v>
      </c>
      <c r="L236" t="s">
        <v>5165</v>
      </c>
      <c r="M236" t="s">
        <v>5166</v>
      </c>
      <c r="N236" s="146" t="s">
        <v>5167</v>
      </c>
      <c r="O236" s="146" t="s">
        <v>5154</v>
      </c>
    </row>
    <row r="237" spans="1:15">
      <c r="A237" s="146" t="s">
        <v>5168</v>
      </c>
      <c r="B237" s="151" t="s">
        <v>5169</v>
      </c>
      <c r="C237" s="146" t="s">
        <v>5170</v>
      </c>
      <c r="D237" s="146" t="s">
        <v>5171</v>
      </c>
      <c r="E237" s="146" t="s">
        <v>5172</v>
      </c>
      <c r="F237" s="146" t="s">
        <v>5173</v>
      </c>
      <c r="G237" s="146" t="s">
        <v>5174</v>
      </c>
      <c r="H237" s="146" t="s">
        <v>5175</v>
      </c>
      <c r="I237" t="s">
        <v>5176</v>
      </c>
      <c r="J237" s="146" t="s">
        <v>5177</v>
      </c>
      <c r="K237" s="146" t="s">
        <v>5178</v>
      </c>
      <c r="L237" t="s">
        <v>5179</v>
      </c>
      <c r="M237" t="s">
        <v>5180</v>
      </c>
      <c r="N237" s="146" t="s">
        <v>5181</v>
      </c>
      <c r="O237" s="146" t="s">
        <v>5168</v>
      </c>
    </row>
    <row r="238" spans="1:15">
      <c r="A238" s="146" t="s">
        <v>5182</v>
      </c>
      <c r="B238" s="151" t="s">
        <v>5183</v>
      </c>
      <c r="C238" s="146" t="s">
        <v>5184</v>
      </c>
      <c r="D238" s="146" t="s">
        <v>5185</v>
      </c>
      <c r="E238" s="146" t="s">
        <v>5186</v>
      </c>
      <c r="F238" s="146" t="s">
        <v>5187</v>
      </c>
      <c r="G238" s="146" t="s">
        <v>5188</v>
      </c>
      <c r="H238" s="146" t="s">
        <v>5189</v>
      </c>
      <c r="I238" s="169" t="s">
        <v>5190</v>
      </c>
      <c r="J238" s="146" t="s">
        <v>5191</v>
      </c>
      <c r="K238" s="176" t="s">
        <v>5192</v>
      </c>
      <c r="L238" s="169" t="s">
        <v>5193</v>
      </c>
      <c r="M238" s="169" t="s">
        <v>5194</v>
      </c>
      <c r="N238" s="146" t="s">
        <v>5195</v>
      </c>
      <c r="O238" s="146" t="s">
        <v>5182</v>
      </c>
    </row>
    <row r="239" spans="1:15">
      <c r="A239" s="146" t="s">
        <v>5196</v>
      </c>
      <c r="B239" s="151" t="s">
        <v>5197</v>
      </c>
      <c r="C239" s="146" t="s">
        <v>5198</v>
      </c>
      <c r="D239" s="146" t="s">
        <v>5199</v>
      </c>
      <c r="E239" s="146" t="s">
        <v>5200</v>
      </c>
      <c r="F239" s="146" t="s">
        <v>5201</v>
      </c>
      <c r="G239" s="146" t="s">
        <v>5202</v>
      </c>
      <c r="H239" s="146" t="s">
        <v>5203</v>
      </c>
      <c r="I239" s="169" t="s">
        <v>5204</v>
      </c>
      <c r="J239" s="146" t="s">
        <v>5205</v>
      </c>
      <c r="K239" s="176" t="s">
        <v>5206</v>
      </c>
      <c r="L239" s="169" t="s">
        <v>5207</v>
      </c>
      <c r="M239" s="169" t="s">
        <v>5208</v>
      </c>
      <c r="N239" s="146" t="s">
        <v>5209</v>
      </c>
      <c r="O239" s="146" t="s">
        <v>5196</v>
      </c>
    </row>
    <row r="240" spans="1:15">
      <c r="A240" s="146" t="s">
        <v>5210</v>
      </c>
      <c r="B240" s="151" t="s">
        <v>5211</v>
      </c>
      <c r="C240" s="146" t="s">
        <v>5212</v>
      </c>
      <c r="D240" s="146" t="s">
        <v>5213</v>
      </c>
      <c r="E240" s="146" t="s">
        <v>5214</v>
      </c>
      <c r="F240" s="146" t="s">
        <v>5215</v>
      </c>
      <c r="G240" s="146" t="s">
        <v>5216</v>
      </c>
      <c r="H240" s="146" t="s">
        <v>5217</v>
      </c>
      <c r="I240" s="169" t="s">
        <v>5218</v>
      </c>
      <c r="J240" s="146" t="s">
        <v>5219</v>
      </c>
      <c r="K240" s="176" t="s">
        <v>5220</v>
      </c>
      <c r="L240" s="169" t="s">
        <v>5221</v>
      </c>
      <c r="M240" s="169" t="s">
        <v>5222</v>
      </c>
      <c r="N240" s="146" t="s">
        <v>5223</v>
      </c>
      <c r="O240" s="146" t="s">
        <v>5210</v>
      </c>
    </row>
    <row r="241" spans="1:15">
      <c r="A241" s="146" t="s">
        <v>5224</v>
      </c>
      <c r="B241" s="151" t="s">
        <v>5225</v>
      </c>
      <c r="C241" s="146" t="s">
        <v>5226</v>
      </c>
      <c r="D241" s="146" t="s">
        <v>5227</v>
      </c>
      <c r="E241" s="146" t="s">
        <v>5228</v>
      </c>
      <c r="F241" s="146" t="s">
        <v>5229</v>
      </c>
      <c r="G241" s="146" t="s">
        <v>5230</v>
      </c>
      <c r="H241" s="146" t="s">
        <v>5231</v>
      </c>
      <c r="I241" s="169" t="s">
        <v>5232</v>
      </c>
      <c r="J241" s="146" t="s">
        <v>5233</v>
      </c>
      <c r="K241" s="176" t="s">
        <v>5234</v>
      </c>
      <c r="L241" s="169" t="s">
        <v>5235</v>
      </c>
      <c r="M241" s="169" t="s">
        <v>5236</v>
      </c>
      <c r="N241" s="146" t="s">
        <v>5237</v>
      </c>
      <c r="O241" s="146" t="s">
        <v>5224</v>
      </c>
    </row>
    <row r="242" spans="1:15">
      <c r="A242" s="146" t="s">
        <v>5238</v>
      </c>
      <c r="B242" s="151" t="s">
        <v>5239</v>
      </c>
      <c r="C242" s="146" t="s">
        <v>5240</v>
      </c>
      <c r="D242" s="146" t="s">
        <v>5241</v>
      </c>
      <c r="E242" s="146" t="s">
        <v>5242</v>
      </c>
      <c r="F242" s="146" t="s">
        <v>5243</v>
      </c>
      <c r="G242" s="146" t="s">
        <v>5244</v>
      </c>
      <c r="H242" s="146" t="s">
        <v>5245</v>
      </c>
      <c r="I242" t="s">
        <v>5246</v>
      </c>
      <c r="J242" s="146" t="s">
        <v>5247</v>
      </c>
      <c r="K242" s="146" t="s">
        <v>5248</v>
      </c>
      <c r="L242" t="s">
        <v>5249</v>
      </c>
      <c r="M242" t="s">
        <v>5250</v>
      </c>
      <c r="N242" s="146" t="s">
        <v>5251</v>
      </c>
      <c r="O242" s="146" t="s">
        <v>5238</v>
      </c>
    </row>
    <row r="243" spans="1:15">
      <c r="A243" s="146" t="s">
        <v>5252</v>
      </c>
      <c r="B243" s="151" t="s">
        <v>5253</v>
      </c>
      <c r="C243" s="146" t="s">
        <v>5254</v>
      </c>
      <c r="D243" s="146" t="s">
        <v>5255</v>
      </c>
      <c r="E243" s="146" t="s">
        <v>5256</v>
      </c>
      <c r="F243" s="146" t="s">
        <v>5257</v>
      </c>
      <c r="G243" s="146" t="s">
        <v>5258</v>
      </c>
      <c r="H243" s="146" t="s">
        <v>5259</v>
      </c>
      <c r="I243" t="s">
        <v>5260</v>
      </c>
      <c r="J243" s="146" t="s">
        <v>5261</v>
      </c>
      <c r="K243" s="146" t="s">
        <v>5262</v>
      </c>
      <c r="L243" t="s">
        <v>5263</v>
      </c>
      <c r="M243" t="s">
        <v>5264</v>
      </c>
      <c r="N243" s="146" t="s">
        <v>5265</v>
      </c>
      <c r="O243" s="146" t="s">
        <v>5252</v>
      </c>
    </row>
    <row r="244" spans="1:15">
      <c r="A244" s="146" t="s">
        <v>5266</v>
      </c>
      <c r="B244" s="151" t="s">
        <v>5267</v>
      </c>
      <c r="C244" s="146" t="s">
        <v>5268</v>
      </c>
      <c r="D244" s="146" t="s">
        <v>5269</v>
      </c>
      <c r="E244" s="146" t="s">
        <v>5270</v>
      </c>
      <c r="F244" s="146" t="s">
        <v>5271</v>
      </c>
      <c r="G244" s="146" t="s">
        <v>5272</v>
      </c>
      <c r="H244" s="146" t="s">
        <v>5273</v>
      </c>
      <c r="I244" t="s">
        <v>5274</v>
      </c>
      <c r="J244" s="146" t="s">
        <v>5266</v>
      </c>
      <c r="K244" s="146" t="s">
        <v>5275</v>
      </c>
      <c r="L244" t="s">
        <v>5276</v>
      </c>
      <c r="M244" t="s">
        <v>5277</v>
      </c>
      <c r="N244" s="146" t="s">
        <v>5278</v>
      </c>
      <c r="O244" s="146" t="s">
        <v>5266</v>
      </c>
    </row>
    <row r="245" spans="1:15" s="150" customFormat="1">
      <c r="A245" s="150" t="s">
        <v>5279</v>
      </c>
      <c r="B245" s="153" t="s">
        <v>5280</v>
      </c>
      <c r="C245" s="150" t="s">
        <v>5281</v>
      </c>
      <c r="D245" s="150" t="s">
        <v>5282</v>
      </c>
      <c r="E245" s="150" t="s">
        <v>5283</v>
      </c>
      <c r="F245" s="150" t="s">
        <v>5284</v>
      </c>
      <c r="G245" s="150" t="s">
        <v>5285</v>
      </c>
      <c r="H245" s="150" t="s">
        <v>5286</v>
      </c>
      <c r="I245" s="236" t="s">
        <v>5287</v>
      </c>
      <c r="J245" s="150" t="s">
        <v>5288</v>
      </c>
      <c r="K245" s="150" t="s">
        <v>5289</v>
      </c>
      <c r="L245" s="236" t="s">
        <v>5290</v>
      </c>
      <c r="M245" s="236" t="s">
        <v>5291</v>
      </c>
      <c r="N245" s="150" t="s">
        <v>5292</v>
      </c>
      <c r="O245" s="150" t="s">
        <v>5279</v>
      </c>
    </row>
    <row r="246" spans="1:15" ht="26.4">
      <c r="A246" s="155" t="s">
        <v>5293</v>
      </c>
      <c r="B246" s="153" t="s">
        <v>5294</v>
      </c>
      <c r="C246" s="150" t="s">
        <v>5295</v>
      </c>
      <c r="D246" s="155" t="s">
        <v>5296</v>
      </c>
      <c r="E246" s="147" t="s">
        <v>5297</v>
      </c>
      <c r="F246" s="147" t="s">
        <v>5298</v>
      </c>
      <c r="G246" s="146" t="s">
        <v>5299</v>
      </c>
      <c r="H246" s="155" t="s">
        <v>5300</v>
      </c>
      <c r="I246" s="240" t="s">
        <v>5301</v>
      </c>
      <c r="J246" s="146" t="s">
        <v>5302</v>
      </c>
      <c r="K246" s="147" t="s">
        <v>5303</v>
      </c>
      <c r="L246" s="15" t="s">
        <v>5304</v>
      </c>
      <c r="M246" s="240" t="s">
        <v>5305</v>
      </c>
      <c r="N246" s="155" t="s">
        <v>5306</v>
      </c>
      <c r="O246" s="155" t="s">
        <v>5293</v>
      </c>
    </row>
    <row r="247" spans="1:15" ht="26.4">
      <c r="A247" s="155" t="s">
        <v>5307</v>
      </c>
      <c r="B247" s="153" t="s">
        <v>5308</v>
      </c>
      <c r="C247" s="150" t="s">
        <v>5309</v>
      </c>
      <c r="D247" s="155" t="s">
        <v>5310</v>
      </c>
      <c r="E247" s="147" t="s">
        <v>5311</v>
      </c>
      <c r="F247" s="147" t="s">
        <v>5312</v>
      </c>
      <c r="G247" s="146" t="s">
        <v>5313</v>
      </c>
      <c r="H247" s="155" t="s">
        <v>5314</v>
      </c>
      <c r="I247" s="240" t="s">
        <v>5315</v>
      </c>
      <c r="J247" s="146" t="s">
        <v>5316</v>
      </c>
      <c r="K247" s="147" t="s">
        <v>5317</v>
      </c>
      <c r="L247" s="240" t="s">
        <v>5318</v>
      </c>
      <c r="M247" s="240" t="s">
        <v>5319</v>
      </c>
      <c r="N247" s="155" t="s">
        <v>5320</v>
      </c>
      <c r="O247" s="155" t="s">
        <v>5307</v>
      </c>
    </row>
    <row r="248" spans="1:15">
      <c r="A248" s="146" t="s">
        <v>5321</v>
      </c>
      <c r="B248" s="151" t="s">
        <v>5322</v>
      </c>
      <c r="C248" s="146" t="s">
        <v>5323</v>
      </c>
      <c r="D248" s="146" t="s">
        <v>5324</v>
      </c>
      <c r="E248" s="146" t="s">
        <v>5325</v>
      </c>
      <c r="F248" s="146" t="s">
        <v>5326</v>
      </c>
      <c r="G248" s="146" t="s">
        <v>5327</v>
      </c>
      <c r="H248" s="146" t="s">
        <v>5328</v>
      </c>
      <c r="I248" t="s">
        <v>5329</v>
      </c>
      <c r="J248" s="146" t="s">
        <v>5330</v>
      </c>
      <c r="K248" s="146" t="s">
        <v>5331</v>
      </c>
      <c r="L248" t="s">
        <v>5332</v>
      </c>
      <c r="M248" t="s">
        <v>5333</v>
      </c>
      <c r="N248" s="146" t="s">
        <v>5334</v>
      </c>
      <c r="O248" s="146" t="s">
        <v>5321</v>
      </c>
    </row>
    <row r="249" spans="1:15">
      <c r="A249" s="146" t="s">
        <v>5335</v>
      </c>
      <c r="B249" s="151" t="s">
        <v>5336</v>
      </c>
      <c r="C249" s="146" t="s">
        <v>5337</v>
      </c>
      <c r="D249" s="146" t="s">
        <v>5338</v>
      </c>
      <c r="E249" s="146" t="s">
        <v>5339</v>
      </c>
      <c r="F249" s="146" t="s">
        <v>5340</v>
      </c>
      <c r="G249" s="146" t="s">
        <v>5341</v>
      </c>
      <c r="H249" s="146" t="s">
        <v>5342</v>
      </c>
      <c r="I249" t="s">
        <v>5343</v>
      </c>
      <c r="J249" s="146" t="s">
        <v>5344</v>
      </c>
      <c r="K249" s="146" t="s">
        <v>5345</v>
      </c>
      <c r="L249" t="s">
        <v>5346</v>
      </c>
      <c r="M249" t="s">
        <v>5347</v>
      </c>
      <c r="N249" s="146" t="s">
        <v>5348</v>
      </c>
      <c r="O249" s="146" t="s">
        <v>5335</v>
      </c>
    </row>
    <row r="250" spans="1:15">
      <c r="A250" s="146" t="s">
        <v>5349</v>
      </c>
      <c r="B250" s="151" t="s">
        <v>5350</v>
      </c>
      <c r="C250" s="146" t="s">
        <v>5351</v>
      </c>
      <c r="D250" s="146" t="s">
        <v>5352</v>
      </c>
      <c r="E250" s="146" t="s">
        <v>5353</v>
      </c>
      <c r="F250" s="146" t="s">
        <v>5354</v>
      </c>
      <c r="G250" s="146" t="s">
        <v>5355</v>
      </c>
      <c r="H250" s="146" t="s">
        <v>5356</v>
      </c>
      <c r="I250" t="s">
        <v>5357</v>
      </c>
      <c r="J250" s="146" t="s">
        <v>5358</v>
      </c>
      <c r="K250" s="146" t="s">
        <v>5359</v>
      </c>
      <c r="L250" t="s">
        <v>5360</v>
      </c>
      <c r="M250" t="s">
        <v>5361</v>
      </c>
      <c r="N250" s="146" t="s">
        <v>5362</v>
      </c>
      <c r="O250" s="146" t="s">
        <v>5349</v>
      </c>
    </row>
    <row r="251" spans="1:15">
      <c r="A251" s="146" t="s">
        <v>5363</v>
      </c>
      <c r="B251" s="151" t="s">
        <v>5364</v>
      </c>
      <c r="C251" s="146" t="s">
        <v>5365</v>
      </c>
      <c r="D251" s="146" t="s">
        <v>5366</v>
      </c>
      <c r="E251" s="146" t="s">
        <v>5367</v>
      </c>
      <c r="F251" s="146" t="s">
        <v>5368</v>
      </c>
      <c r="G251" s="146" t="s">
        <v>5369</v>
      </c>
      <c r="H251" s="146" t="s">
        <v>5370</v>
      </c>
      <c r="I251" t="s">
        <v>5371</v>
      </c>
      <c r="J251" s="146" t="s">
        <v>5372</v>
      </c>
      <c r="K251" s="146" t="s">
        <v>5373</v>
      </c>
      <c r="L251" t="s">
        <v>5374</v>
      </c>
      <c r="M251" t="s">
        <v>5375</v>
      </c>
      <c r="N251" s="146" t="s">
        <v>5376</v>
      </c>
      <c r="O251" s="146" t="s">
        <v>5363</v>
      </c>
    </row>
    <row r="252" spans="1:15">
      <c r="A252" s="146" t="s">
        <v>5377</v>
      </c>
      <c r="B252" s="151" t="s">
        <v>5378</v>
      </c>
      <c r="C252" s="146" t="s">
        <v>5379</v>
      </c>
      <c r="D252" s="146" t="s">
        <v>5380</v>
      </c>
      <c r="E252" s="146" t="s">
        <v>5381</v>
      </c>
      <c r="F252" s="146" t="s">
        <v>5382</v>
      </c>
      <c r="G252" s="146" t="s">
        <v>5383</v>
      </c>
      <c r="H252" s="146" t="s">
        <v>5384</v>
      </c>
      <c r="I252" t="s">
        <v>5385</v>
      </c>
      <c r="J252" s="146" t="s">
        <v>5386</v>
      </c>
      <c r="K252" s="146" t="s">
        <v>5387</v>
      </c>
      <c r="L252" t="s">
        <v>5388</v>
      </c>
      <c r="M252" t="s">
        <v>5389</v>
      </c>
      <c r="N252" s="146" t="s">
        <v>5390</v>
      </c>
      <c r="O252" s="146" t="s">
        <v>5377</v>
      </c>
    </row>
    <row r="253" spans="1:15">
      <c r="A253" s="146" t="s">
        <v>5391</v>
      </c>
      <c r="B253" s="151" t="s">
        <v>5392</v>
      </c>
      <c r="C253" s="146" t="s">
        <v>5393</v>
      </c>
      <c r="D253" s="146" t="s">
        <v>5394</v>
      </c>
      <c r="E253" s="146" t="s">
        <v>5395</v>
      </c>
      <c r="F253" s="146" t="s">
        <v>5396</v>
      </c>
      <c r="G253" s="146" t="s">
        <v>5397</v>
      </c>
      <c r="H253" s="146" t="s">
        <v>5398</v>
      </c>
      <c r="I253" t="s">
        <v>5391</v>
      </c>
      <c r="J253" s="146" t="s">
        <v>5399</v>
      </c>
      <c r="K253" s="146" t="s">
        <v>5400</v>
      </c>
      <c r="L253" t="s">
        <v>5401</v>
      </c>
      <c r="M253" t="s">
        <v>5402</v>
      </c>
      <c r="N253" s="146" t="s">
        <v>5403</v>
      </c>
      <c r="O253" s="146" t="s">
        <v>5391</v>
      </c>
    </row>
    <row r="254" spans="1:15">
      <c r="A254" s="146" t="s">
        <v>5404</v>
      </c>
      <c r="B254" s="151" t="s">
        <v>5405</v>
      </c>
      <c r="C254" s="146" t="s">
        <v>5406</v>
      </c>
      <c r="D254" s="146" t="s">
        <v>5407</v>
      </c>
      <c r="E254" s="146" t="s">
        <v>5408</v>
      </c>
      <c r="F254" s="146" t="s">
        <v>5409</v>
      </c>
      <c r="G254" s="146" t="s">
        <v>5410</v>
      </c>
      <c r="H254" s="146" t="s">
        <v>5411</v>
      </c>
      <c r="I254" t="s">
        <v>5412</v>
      </c>
      <c r="J254" s="146" t="s">
        <v>5413</v>
      </c>
      <c r="K254" s="146" t="s">
        <v>5414</v>
      </c>
      <c r="L254" t="s">
        <v>5415</v>
      </c>
      <c r="M254" t="s">
        <v>5416</v>
      </c>
      <c r="N254" s="146" t="s">
        <v>5417</v>
      </c>
      <c r="O254" s="146" t="s">
        <v>5404</v>
      </c>
    </row>
    <row r="255" spans="1:15">
      <c r="A255" s="146" t="s">
        <v>5418</v>
      </c>
      <c r="B255" s="151" t="s">
        <v>5419</v>
      </c>
      <c r="C255" s="146" t="s">
        <v>5420</v>
      </c>
      <c r="D255" s="146" t="s">
        <v>5421</v>
      </c>
      <c r="E255" s="146" t="s">
        <v>5422</v>
      </c>
      <c r="F255" s="146" t="s">
        <v>5423</v>
      </c>
      <c r="G255" s="146" t="s">
        <v>5424</v>
      </c>
      <c r="H255" s="146" t="s">
        <v>5425</v>
      </c>
      <c r="I255" t="s">
        <v>5426</v>
      </c>
      <c r="J255" s="146" t="s">
        <v>5427</v>
      </c>
      <c r="K255" s="146" t="s">
        <v>5428</v>
      </c>
      <c r="L255" t="s">
        <v>5429</v>
      </c>
      <c r="M255" t="s">
        <v>5430</v>
      </c>
      <c r="N255" s="146" t="s">
        <v>5431</v>
      </c>
      <c r="O255" s="146" t="s">
        <v>5418</v>
      </c>
    </row>
    <row r="256" spans="1:15">
      <c r="A256" s="37" t="s">
        <v>5432</v>
      </c>
      <c r="B256" s="151" t="s">
        <v>5433</v>
      </c>
      <c r="C256" s="146" t="s">
        <v>5434</v>
      </c>
      <c r="D256" s="37" t="s">
        <v>5435</v>
      </c>
      <c r="E256" s="37" t="s">
        <v>5436</v>
      </c>
      <c r="F256" s="37" t="s">
        <v>5437</v>
      </c>
      <c r="G256" s="37" t="s">
        <v>5438</v>
      </c>
      <c r="H256" s="37" t="s">
        <v>5439</v>
      </c>
      <c r="I256" s="1" t="s">
        <v>5440</v>
      </c>
      <c r="J256" s="146" t="s">
        <v>5441</v>
      </c>
      <c r="K256" s="37" t="s">
        <v>5442</v>
      </c>
      <c r="L256" s="1" t="s">
        <v>5443</v>
      </c>
      <c r="M256" s="1" t="s">
        <v>5444</v>
      </c>
      <c r="N256" s="37" t="s">
        <v>5445</v>
      </c>
      <c r="O256" s="37" t="s">
        <v>5432</v>
      </c>
    </row>
    <row r="257" spans="1:15">
      <c r="A257" s="37" t="s">
        <v>5446</v>
      </c>
      <c r="B257" s="151" t="s">
        <v>5447</v>
      </c>
      <c r="C257" s="146" t="s">
        <v>5448</v>
      </c>
      <c r="D257" s="37" t="s">
        <v>5449</v>
      </c>
      <c r="E257" s="37" t="s">
        <v>5450</v>
      </c>
      <c r="F257" s="37" t="s">
        <v>5451</v>
      </c>
      <c r="G257" s="37" t="s">
        <v>5452</v>
      </c>
      <c r="H257" s="37" t="s">
        <v>5453</v>
      </c>
      <c r="I257" s="1" t="s">
        <v>5454</v>
      </c>
      <c r="J257" s="146" t="s">
        <v>5455</v>
      </c>
      <c r="K257" s="37" t="s">
        <v>5456</v>
      </c>
      <c r="L257" s="1" t="s">
        <v>5457</v>
      </c>
      <c r="M257" s="1" t="s">
        <v>5458</v>
      </c>
      <c r="N257" s="37" t="s">
        <v>5459</v>
      </c>
      <c r="O257" s="37" t="s">
        <v>5446</v>
      </c>
    </row>
    <row r="258" spans="1:15">
      <c r="A258" s="37" t="s">
        <v>5460</v>
      </c>
      <c r="B258" s="151" t="s">
        <v>5461</v>
      </c>
      <c r="C258" s="146" t="s">
        <v>5462</v>
      </c>
      <c r="D258" s="37" t="s">
        <v>5463</v>
      </c>
      <c r="E258" s="37" t="s">
        <v>5464</v>
      </c>
      <c r="F258" s="37" t="s">
        <v>5465</v>
      </c>
      <c r="G258" s="37" t="s">
        <v>5466</v>
      </c>
      <c r="H258" s="37" t="s">
        <v>5467</v>
      </c>
      <c r="I258" s="1" t="s">
        <v>5468</v>
      </c>
      <c r="J258" s="146" t="s">
        <v>5469</v>
      </c>
      <c r="K258" s="37" t="s">
        <v>5470</v>
      </c>
      <c r="L258" s="1" t="s">
        <v>5471</v>
      </c>
      <c r="M258" s="1" t="s">
        <v>5472</v>
      </c>
      <c r="N258" s="37" t="s">
        <v>5473</v>
      </c>
      <c r="O258" s="37" t="s">
        <v>5460</v>
      </c>
    </row>
    <row r="259" spans="1:15">
      <c r="A259" s="37" t="s">
        <v>5474</v>
      </c>
      <c r="B259" s="151" t="s">
        <v>5475</v>
      </c>
      <c r="C259" s="146" t="s">
        <v>5476</v>
      </c>
      <c r="D259" s="37" t="s">
        <v>5477</v>
      </c>
      <c r="E259" s="37" t="s">
        <v>5478</v>
      </c>
      <c r="F259" s="37" t="s">
        <v>5479</v>
      </c>
      <c r="G259" s="37" t="s">
        <v>5480</v>
      </c>
      <c r="H259" s="37" t="s">
        <v>5481</v>
      </c>
      <c r="I259" s="1" t="s">
        <v>5482</v>
      </c>
      <c r="J259" s="146" t="s">
        <v>5483</v>
      </c>
      <c r="K259" s="37" t="s">
        <v>5484</v>
      </c>
      <c r="L259" s="1" t="s">
        <v>5485</v>
      </c>
      <c r="M259" s="1" t="s">
        <v>5486</v>
      </c>
      <c r="N259" s="37" t="s">
        <v>5487</v>
      </c>
      <c r="O259" s="37" t="s">
        <v>5474</v>
      </c>
    </row>
    <row r="260" spans="1:15">
      <c r="A260" s="146" t="s">
        <v>5488</v>
      </c>
      <c r="B260" s="151" t="s">
        <v>5489</v>
      </c>
      <c r="C260" s="146" t="s">
        <v>5490</v>
      </c>
      <c r="D260" s="146" t="s">
        <v>5491</v>
      </c>
      <c r="E260" s="146" t="s">
        <v>5492</v>
      </c>
      <c r="F260" s="146" t="s">
        <v>5493</v>
      </c>
      <c r="G260" s="146" t="s">
        <v>5494</v>
      </c>
      <c r="H260" s="146" t="s">
        <v>5495</v>
      </c>
      <c r="I260" t="s">
        <v>5496</v>
      </c>
      <c r="J260" s="146" t="s">
        <v>5497</v>
      </c>
      <c r="K260" s="146" t="s">
        <v>5498</v>
      </c>
      <c r="L260" t="s">
        <v>5499</v>
      </c>
      <c r="M260" t="s">
        <v>5500</v>
      </c>
      <c r="N260" s="146" t="s">
        <v>5501</v>
      </c>
      <c r="O260" s="146" t="s">
        <v>5488</v>
      </c>
    </row>
    <row r="261" spans="1:15">
      <c r="A261" s="146" t="s">
        <v>5502</v>
      </c>
      <c r="B261" s="151" t="s">
        <v>5503</v>
      </c>
      <c r="C261" s="146" t="s">
        <v>5504</v>
      </c>
      <c r="D261" s="146" t="s">
        <v>5505</v>
      </c>
      <c r="E261" s="146" t="s">
        <v>5506</v>
      </c>
      <c r="F261" s="146" t="s">
        <v>5507</v>
      </c>
      <c r="G261" s="146" t="s">
        <v>5508</v>
      </c>
      <c r="H261" s="146" t="s">
        <v>5509</v>
      </c>
      <c r="I261" t="s">
        <v>5510</v>
      </c>
      <c r="J261" s="146" t="s">
        <v>3439</v>
      </c>
      <c r="K261" s="146" t="s">
        <v>5511</v>
      </c>
      <c r="L261" t="s">
        <v>5512</v>
      </c>
      <c r="M261" t="s">
        <v>5513</v>
      </c>
      <c r="N261" s="146" t="s">
        <v>5514</v>
      </c>
      <c r="O261" s="146" t="s">
        <v>5502</v>
      </c>
    </row>
    <row r="262" spans="1:15">
      <c r="A262" s="146" t="s">
        <v>5515</v>
      </c>
      <c r="B262" s="151" t="s">
        <v>5516</v>
      </c>
      <c r="C262" s="146" t="s">
        <v>5517</v>
      </c>
      <c r="D262" s="146" t="s">
        <v>5518</v>
      </c>
      <c r="E262" s="146" t="s">
        <v>5519</v>
      </c>
      <c r="F262" s="146" t="s">
        <v>5520</v>
      </c>
      <c r="G262" s="146" t="s">
        <v>5521</v>
      </c>
      <c r="H262" s="146" t="s">
        <v>4184</v>
      </c>
      <c r="I262" t="s">
        <v>5522</v>
      </c>
      <c r="J262" s="146" t="s">
        <v>4186</v>
      </c>
      <c r="K262" s="146" t="s">
        <v>5523</v>
      </c>
      <c r="L262" t="s">
        <v>5524</v>
      </c>
      <c r="M262" t="s">
        <v>5524</v>
      </c>
      <c r="N262" s="146" t="s">
        <v>5525</v>
      </c>
      <c r="O262" s="146" t="s">
        <v>5515</v>
      </c>
    </row>
    <row r="263" spans="1:15">
      <c r="A263" s="146" t="s">
        <v>5526</v>
      </c>
      <c r="B263" s="151" t="s">
        <v>5527</v>
      </c>
      <c r="C263" s="146" t="s">
        <v>5528</v>
      </c>
      <c r="D263" s="146" t="s">
        <v>5529</v>
      </c>
      <c r="E263" s="146" t="s">
        <v>5530</v>
      </c>
      <c r="F263" s="146" t="s">
        <v>5531</v>
      </c>
      <c r="G263" s="146" t="s">
        <v>5532</v>
      </c>
      <c r="H263" s="146" t="s">
        <v>5533</v>
      </c>
      <c r="I263" t="s">
        <v>5534</v>
      </c>
      <c r="J263" s="146" t="s">
        <v>5535</v>
      </c>
      <c r="K263" s="146" t="s">
        <v>5536</v>
      </c>
      <c r="L263" t="s">
        <v>5537</v>
      </c>
      <c r="M263" t="s">
        <v>5538</v>
      </c>
      <c r="N263" s="146" t="s">
        <v>5539</v>
      </c>
      <c r="O263" s="146" t="s">
        <v>5526</v>
      </c>
    </row>
    <row r="264" spans="1:15">
      <c r="A264" s="146" t="s">
        <v>5540</v>
      </c>
      <c r="B264" s="151" t="s">
        <v>5541</v>
      </c>
      <c r="C264" s="146" t="s">
        <v>5542</v>
      </c>
      <c r="D264" s="146" t="s">
        <v>5543</v>
      </c>
      <c r="E264" s="146" t="s">
        <v>5544</v>
      </c>
      <c r="F264" s="146" t="s">
        <v>5545</v>
      </c>
      <c r="G264" s="146" t="s">
        <v>5546</v>
      </c>
      <c r="H264" s="146" t="s">
        <v>5547</v>
      </c>
      <c r="I264" t="s">
        <v>5548</v>
      </c>
      <c r="J264" s="146" t="s">
        <v>5549</v>
      </c>
      <c r="K264" s="146" t="s">
        <v>5550</v>
      </c>
      <c r="L264" t="s">
        <v>5551</v>
      </c>
      <c r="M264" t="s">
        <v>5552</v>
      </c>
      <c r="N264" s="146" t="s">
        <v>5553</v>
      </c>
      <c r="O264" s="146" t="s">
        <v>5540</v>
      </c>
    </row>
    <row r="265" spans="1:15">
      <c r="A265" s="146" t="s">
        <v>4023</v>
      </c>
      <c r="B265" s="151" t="s">
        <v>5554</v>
      </c>
      <c r="C265" s="146" t="s">
        <v>5555</v>
      </c>
      <c r="D265" s="146" t="s">
        <v>5556</v>
      </c>
      <c r="E265" s="146" t="s">
        <v>5557</v>
      </c>
      <c r="F265" s="146" t="s">
        <v>5558</v>
      </c>
      <c r="G265" s="146" t="s">
        <v>5559</v>
      </c>
      <c r="H265" s="146" t="s">
        <v>5560</v>
      </c>
      <c r="I265" t="s">
        <v>5561</v>
      </c>
      <c r="J265" s="146" t="s">
        <v>5562</v>
      </c>
      <c r="K265" s="146" t="s">
        <v>5563</v>
      </c>
      <c r="L265" t="s">
        <v>5564</v>
      </c>
      <c r="M265" t="s">
        <v>5565</v>
      </c>
      <c r="N265" s="146" t="s">
        <v>5566</v>
      </c>
      <c r="O265" s="146" t="s">
        <v>4023</v>
      </c>
    </row>
    <row r="266" spans="1:15">
      <c r="A266" s="146" t="s">
        <v>4037</v>
      </c>
      <c r="B266" s="151" t="s">
        <v>5567</v>
      </c>
      <c r="C266" s="146" t="s">
        <v>5568</v>
      </c>
      <c r="D266" s="146" t="s">
        <v>5569</v>
      </c>
      <c r="E266" s="146" t="s">
        <v>5570</v>
      </c>
      <c r="F266" s="146" t="s">
        <v>5571</v>
      </c>
      <c r="G266" s="146" t="s">
        <v>5572</v>
      </c>
      <c r="H266" s="146" t="s">
        <v>5573</v>
      </c>
      <c r="I266" t="s">
        <v>5574</v>
      </c>
      <c r="J266" s="146" t="s">
        <v>5575</v>
      </c>
      <c r="K266" s="146" t="s">
        <v>5576</v>
      </c>
      <c r="L266" t="s">
        <v>5577</v>
      </c>
      <c r="M266" t="s">
        <v>5578</v>
      </c>
      <c r="N266" s="146" t="s">
        <v>5579</v>
      </c>
      <c r="O266" s="146" t="s">
        <v>4037</v>
      </c>
    </row>
    <row r="267" spans="1:15">
      <c r="A267" s="146" t="s">
        <v>5580</v>
      </c>
      <c r="B267" s="151" t="s">
        <v>5581</v>
      </c>
      <c r="C267" s="146" t="s">
        <v>5582</v>
      </c>
      <c r="D267" s="146" t="s">
        <v>5580</v>
      </c>
      <c r="E267" s="146" t="s">
        <v>5580</v>
      </c>
      <c r="F267" s="146" t="s">
        <v>5583</v>
      </c>
      <c r="G267" s="146" t="s">
        <v>5584</v>
      </c>
      <c r="H267" s="146" t="s">
        <v>5585</v>
      </c>
      <c r="I267" t="s">
        <v>5586</v>
      </c>
      <c r="J267" s="146" t="s">
        <v>5580</v>
      </c>
      <c r="K267" s="146" t="s">
        <v>5587</v>
      </c>
      <c r="L267" t="s">
        <v>5587</v>
      </c>
      <c r="M267" t="s">
        <v>5588</v>
      </c>
      <c r="N267" s="146" t="s">
        <v>5589</v>
      </c>
      <c r="O267" s="146" t="s">
        <v>5580</v>
      </c>
    </row>
    <row r="268" spans="1:15" ht="27.6">
      <c r="A268" s="154" t="s">
        <v>5590</v>
      </c>
      <c r="B268" s="151" t="s">
        <v>5591</v>
      </c>
      <c r="C268" s="146" t="s">
        <v>5592</v>
      </c>
      <c r="D268" s="154" t="s">
        <v>5593</v>
      </c>
      <c r="E268" s="154" t="s">
        <v>5594</v>
      </c>
      <c r="F268" s="37" t="s">
        <v>5595</v>
      </c>
      <c r="G268" s="154" t="s">
        <v>5596</v>
      </c>
      <c r="H268" s="154" t="s">
        <v>5597</v>
      </c>
      <c r="I268" s="81" t="s">
        <v>5598</v>
      </c>
      <c r="J268" s="146" t="s">
        <v>5599</v>
      </c>
      <c r="K268" s="37" t="s">
        <v>5600</v>
      </c>
      <c r="L268" s="81" t="s">
        <v>5601</v>
      </c>
      <c r="M268" s="81" t="s">
        <v>5602</v>
      </c>
      <c r="N268" s="154" t="s">
        <v>5603</v>
      </c>
      <c r="O268" s="154" t="s">
        <v>5590</v>
      </c>
    </row>
    <row r="269" spans="1:15">
      <c r="A269" s="146" t="s">
        <v>5604</v>
      </c>
      <c r="B269" s="151" t="s">
        <v>5605</v>
      </c>
      <c r="C269" s="146" t="s">
        <v>5606</v>
      </c>
      <c r="D269" s="146" t="s">
        <v>5607</v>
      </c>
      <c r="E269" s="146" t="s">
        <v>5608</v>
      </c>
      <c r="F269" s="146" t="s">
        <v>5609</v>
      </c>
      <c r="G269" s="146" t="s">
        <v>5610</v>
      </c>
      <c r="H269" s="146" t="s">
        <v>5611</v>
      </c>
      <c r="I269" t="s">
        <v>5612</v>
      </c>
      <c r="J269" s="146" t="s">
        <v>5613</v>
      </c>
      <c r="K269" s="146" t="s">
        <v>5614</v>
      </c>
      <c r="L269" t="s">
        <v>5615</v>
      </c>
      <c r="M269" t="s">
        <v>5616</v>
      </c>
      <c r="N269" s="146" t="s">
        <v>5617</v>
      </c>
      <c r="O269" s="146" t="s">
        <v>5604</v>
      </c>
    </row>
    <row r="270" spans="1:15">
      <c r="A270" s="146" t="s">
        <v>5618</v>
      </c>
      <c r="B270" s="151" t="s">
        <v>5619</v>
      </c>
      <c r="C270" s="146" t="s">
        <v>5620</v>
      </c>
      <c r="D270" s="146" t="s">
        <v>5621</v>
      </c>
      <c r="E270" s="146" t="s">
        <v>5622</v>
      </c>
      <c r="F270" s="146" t="s">
        <v>5623</v>
      </c>
      <c r="G270" s="146" t="s">
        <v>5624</v>
      </c>
      <c r="H270" s="146" t="s">
        <v>5625</v>
      </c>
      <c r="I270" t="s">
        <v>5626</v>
      </c>
      <c r="J270" s="146" t="s">
        <v>5627</v>
      </c>
      <c r="K270" s="146" t="s">
        <v>5628</v>
      </c>
      <c r="L270" t="s">
        <v>5629</v>
      </c>
      <c r="M270" t="s">
        <v>5630</v>
      </c>
      <c r="N270" s="146" t="s">
        <v>5631</v>
      </c>
      <c r="O270" s="146" t="s">
        <v>5618</v>
      </c>
    </row>
    <row r="271" spans="1:15">
      <c r="A271" s="146" t="s">
        <v>5632</v>
      </c>
      <c r="B271" s="151" t="s">
        <v>5633</v>
      </c>
      <c r="C271" s="146" t="s">
        <v>5634</v>
      </c>
      <c r="D271" s="146" t="s">
        <v>5635</v>
      </c>
      <c r="E271" s="146" t="s">
        <v>5636</v>
      </c>
      <c r="F271" s="146" t="s">
        <v>5637</v>
      </c>
      <c r="G271" s="146" t="s">
        <v>5638</v>
      </c>
      <c r="H271" s="146" t="s">
        <v>5639</v>
      </c>
      <c r="I271" t="s">
        <v>5640</v>
      </c>
      <c r="J271" s="146" t="s">
        <v>5641</v>
      </c>
      <c r="K271" s="146" t="s">
        <v>5642</v>
      </c>
      <c r="L271" t="s">
        <v>5643</v>
      </c>
      <c r="M271" t="s">
        <v>5644</v>
      </c>
      <c r="N271" s="146" t="s">
        <v>5645</v>
      </c>
      <c r="O271" s="146" t="s">
        <v>5632</v>
      </c>
    </row>
    <row r="272" spans="1:15">
      <c r="A272" s="146" t="s">
        <v>5646</v>
      </c>
      <c r="B272" s="151" t="s">
        <v>5647</v>
      </c>
      <c r="C272" s="146" t="s">
        <v>5648</v>
      </c>
      <c r="D272" s="146" t="s">
        <v>5649</v>
      </c>
      <c r="E272" s="146" t="s">
        <v>5650</v>
      </c>
      <c r="F272" s="146" t="s">
        <v>5651</v>
      </c>
      <c r="G272" s="146" t="s">
        <v>5652</v>
      </c>
      <c r="H272" s="146" t="s">
        <v>5653</v>
      </c>
      <c r="I272" t="s">
        <v>5654</v>
      </c>
      <c r="J272" s="146" t="s">
        <v>5655</v>
      </c>
      <c r="K272" s="146" t="s">
        <v>5656</v>
      </c>
      <c r="L272" t="s">
        <v>5657</v>
      </c>
      <c r="M272" t="s">
        <v>5658</v>
      </c>
      <c r="N272" s="146" t="s">
        <v>5659</v>
      </c>
      <c r="O272" s="146" t="s">
        <v>5646</v>
      </c>
    </row>
    <row r="273" spans="1:15">
      <c r="A273" s="146" t="s">
        <v>5660</v>
      </c>
      <c r="B273" s="151" t="s">
        <v>5661</v>
      </c>
      <c r="C273" s="146" t="s">
        <v>5662</v>
      </c>
      <c r="D273" s="146" t="s">
        <v>5663</v>
      </c>
      <c r="E273" s="146" t="s">
        <v>5664</v>
      </c>
      <c r="F273" s="146" t="s">
        <v>5665</v>
      </c>
      <c r="G273" s="146" t="s">
        <v>5666</v>
      </c>
      <c r="H273" s="146" t="s">
        <v>5667</v>
      </c>
      <c r="I273" t="s">
        <v>5668</v>
      </c>
      <c r="J273" s="146" t="s">
        <v>5669</v>
      </c>
      <c r="K273" s="146" t="s">
        <v>5670</v>
      </c>
      <c r="L273" t="s">
        <v>5671</v>
      </c>
      <c r="M273" t="s">
        <v>5672</v>
      </c>
      <c r="N273" s="146" t="s">
        <v>5673</v>
      </c>
      <c r="O273" s="146" t="s">
        <v>5660</v>
      </c>
    </row>
    <row r="274" spans="1:15">
      <c r="A274" s="146" t="s">
        <v>5674</v>
      </c>
      <c r="B274" s="151" t="s">
        <v>5675</v>
      </c>
      <c r="C274" s="146" t="s">
        <v>5676</v>
      </c>
      <c r="D274" s="146" t="s">
        <v>5677</v>
      </c>
      <c r="E274" s="146" t="s">
        <v>5678</v>
      </c>
      <c r="F274" s="146" t="s">
        <v>5679</v>
      </c>
      <c r="G274" s="146" t="s">
        <v>5680</v>
      </c>
      <c r="H274" s="146" t="s">
        <v>5681</v>
      </c>
      <c r="I274" t="s">
        <v>5682</v>
      </c>
      <c r="J274" s="146" t="s">
        <v>5683</v>
      </c>
      <c r="K274" s="146" t="s">
        <v>5684</v>
      </c>
      <c r="L274" t="s">
        <v>5685</v>
      </c>
      <c r="M274" t="s">
        <v>5686</v>
      </c>
      <c r="N274" s="146" t="s">
        <v>5687</v>
      </c>
      <c r="O274" s="146" t="s">
        <v>5674</v>
      </c>
    </row>
    <row r="275" spans="1:15">
      <c r="A275" s="146" t="s">
        <v>5688</v>
      </c>
      <c r="B275" s="151" t="s">
        <v>5689</v>
      </c>
      <c r="C275" s="146" t="s">
        <v>5690</v>
      </c>
      <c r="D275" s="146" t="s">
        <v>5691</v>
      </c>
      <c r="E275" s="146" t="s">
        <v>5692</v>
      </c>
      <c r="F275" s="146" t="s">
        <v>5693</v>
      </c>
      <c r="G275" s="146" t="s">
        <v>5694</v>
      </c>
      <c r="H275" s="146" t="s">
        <v>5695</v>
      </c>
      <c r="I275" t="s">
        <v>5696</v>
      </c>
      <c r="J275" s="146" t="s">
        <v>5697</v>
      </c>
      <c r="K275" s="146" t="s">
        <v>5698</v>
      </c>
      <c r="L275" t="s">
        <v>5699</v>
      </c>
      <c r="M275" t="s">
        <v>5700</v>
      </c>
      <c r="N275" s="146" t="s">
        <v>5701</v>
      </c>
      <c r="O275" s="146" t="s">
        <v>5688</v>
      </c>
    </row>
    <row r="276" spans="1:15" ht="26.4">
      <c r="A276" s="155" t="s">
        <v>5702</v>
      </c>
      <c r="B276" s="153" t="s">
        <v>5703</v>
      </c>
      <c r="C276" s="150" t="s">
        <v>5704</v>
      </c>
      <c r="D276" s="155" t="s">
        <v>5705</v>
      </c>
      <c r="E276" s="147" t="s">
        <v>5706</v>
      </c>
      <c r="F276" s="147" t="s">
        <v>5707</v>
      </c>
      <c r="G276" s="155" t="s">
        <v>5708</v>
      </c>
      <c r="H276" s="155" t="s">
        <v>5709</v>
      </c>
      <c r="I276" s="240" t="s">
        <v>5710</v>
      </c>
      <c r="J276" s="146" t="s">
        <v>5711</v>
      </c>
      <c r="K276" s="147" t="s">
        <v>5712</v>
      </c>
      <c r="L276" s="240" t="s">
        <v>5713</v>
      </c>
      <c r="M276" s="240" t="s">
        <v>5714</v>
      </c>
      <c r="N276" s="155" t="s">
        <v>5715</v>
      </c>
      <c r="O276" s="155" t="s">
        <v>5702</v>
      </c>
    </row>
    <row r="277" spans="1:15">
      <c r="A277" s="146" t="s">
        <v>5716</v>
      </c>
      <c r="B277" s="151" t="s">
        <v>5717</v>
      </c>
      <c r="C277" s="146" t="s">
        <v>5718</v>
      </c>
      <c r="D277" s="146" t="s">
        <v>5719</v>
      </c>
      <c r="E277" s="146" t="s">
        <v>5716</v>
      </c>
      <c r="F277" s="146" t="s">
        <v>5720</v>
      </c>
      <c r="G277" s="146" t="s">
        <v>5721</v>
      </c>
      <c r="H277" s="146" t="s">
        <v>5722</v>
      </c>
      <c r="I277" t="s">
        <v>5722</v>
      </c>
      <c r="J277" s="146" t="s">
        <v>5723</v>
      </c>
      <c r="K277" s="146" t="s">
        <v>5724</v>
      </c>
      <c r="L277" t="s">
        <v>5722</v>
      </c>
      <c r="M277" t="s">
        <v>5725</v>
      </c>
      <c r="N277" s="146" t="s">
        <v>5726</v>
      </c>
      <c r="O277" s="146" t="s">
        <v>5716</v>
      </c>
    </row>
    <row r="278" spans="1:15">
      <c r="A278" s="146" t="s">
        <v>5727</v>
      </c>
      <c r="B278" s="151" t="s">
        <v>5728</v>
      </c>
      <c r="C278" s="146" t="s">
        <v>5729</v>
      </c>
      <c r="D278" s="146" t="s">
        <v>5730</v>
      </c>
      <c r="E278" s="146" t="s">
        <v>5731</v>
      </c>
      <c r="F278" s="146" t="s">
        <v>5732</v>
      </c>
      <c r="G278" s="146" t="s">
        <v>5733</v>
      </c>
      <c r="H278" s="146" t="s">
        <v>5734</v>
      </c>
      <c r="I278" t="s">
        <v>5735</v>
      </c>
      <c r="J278" s="146" t="s">
        <v>5736</v>
      </c>
      <c r="K278" s="146" t="s">
        <v>5737</v>
      </c>
      <c r="L278" t="s">
        <v>5738</v>
      </c>
      <c r="M278" t="s">
        <v>5739</v>
      </c>
      <c r="N278" s="146" t="s">
        <v>5740</v>
      </c>
      <c r="O278" s="146" t="s">
        <v>5727</v>
      </c>
    </row>
    <row r="279" spans="1:15">
      <c r="A279" s="146" t="s">
        <v>5741</v>
      </c>
      <c r="B279" s="151" t="s">
        <v>5742</v>
      </c>
      <c r="C279" s="146" t="s">
        <v>5743</v>
      </c>
      <c r="D279" s="146" t="s">
        <v>5744</v>
      </c>
      <c r="E279" s="146" t="s">
        <v>5692</v>
      </c>
      <c r="F279" s="146" t="s">
        <v>5732</v>
      </c>
      <c r="G279" s="146" t="s">
        <v>5745</v>
      </c>
      <c r="H279" s="146" t="s">
        <v>5746</v>
      </c>
      <c r="I279" t="s">
        <v>5747</v>
      </c>
      <c r="J279" s="146" t="s">
        <v>5748</v>
      </c>
      <c r="K279" s="146" t="s">
        <v>5749</v>
      </c>
      <c r="L279" t="s">
        <v>5750</v>
      </c>
      <c r="M279" t="s">
        <v>5751</v>
      </c>
      <c r="N279" s="146" t="s">
        <v>5752</v>
      </c>
      <c r="O279" s="146" t="s">
        <v>5741</v>
      </c>
    </row>
    <row r="280" spans="1:15">
      <c r="A280" s="146" t="s">
        <v>5753</v>
      </c>
      <c r="B280" s="151" t="s">
        <v>5754</v>
      </c>
      <c r="C280" s="146" t="s">
        <v>5755</v>
      </c>
      <c r="D280" s="146" t="s">
        <v>5756</v>
      </c>
      <c r="E280" s="146" t="s">
        <v>5757</v>
      </c>
      <c r="F280" s="146" t="s">
        <v>5758</v>
      </c>
      <c r="G280" s="146" t="s">
        <v>5759</v>
      </c>
      <c r="H280" s="146" t="s">
        <v>5760</v>
      </c>
      <c r="I280" t="s">
        <v>5761</v>
      </c>
      <c r="J280" s="146" t="s">
        <v>5762</v>
      </c>
      <c r="K280" s="146" t="s">
        <v>5763</v>
      </c>
      <c r="L280" t="s">
        <v>5764</v>
      </c>
      <c r="M280" t="s">
        <v>5765</v>
      </c>
      <c r="N280" s="146" t="s">
        <v>5766</v>
      </c>
      <c r="O280" s="146" t="s">
        <v>5753</v>
      </c>
    </row>
    <row r="281" spans="1:15">
      <c r="A281" s="146" t="s">
        <v>5767</v>
      </c>
      <c r="B281" s="151" t="s">
        <v>5768</v>
      </c>
      <c r="C281" s="146" t="s">
        <v>5769</v>
      </c>
      <c r="D281" s="146" t="s">
        <v>5770</v>
      </c>
      <c r="E281" s="146" t="s">
        <v>5771</v>
      </c>
      <c r="F281" s="146" t="s">
        <v>5772</v>
      </c>
      <c r="G281" s="146" t="s">
        <v>5773</v>
      </c>
      <c r="H281" s="146" t="s">
        <v>5774</v>
      </c>
      <c r="I281" t="s">
        <v>5775</v>
      </c>
      <c r="J281" s="146" t="s">
        <v>5776</v>
      </c>
      <c r="K281" s="146" t="s">
        <v>5777</v>
      </c>
      <c r="L281" t="s">
        <v>5778</v>
      </c>
      <c r="M281" t="s">
        <v>5779</v>
      </c>
      <c r="N281" s="146" t="s">
        <v>5780</v>
      </c>
      <c r="O281" s="146" t="s">
        <v>5767</v>
      </c>
    </row>
    <row r="282" spans="1:15">
      <c r="A282" s="146" t="s">
        <v>5781</v>
      </c>
      <c r="B282" s="151" t="s">
        <v>5782</v>
      </c>
      <c r="C282" s="146" t="s">
        <v>5783</v>
      </c>
      <c r="D282" s="146" t="s">
        <v>5784</v>
      </c>
      <c r="E282" s="146" t="s">
        <v>5785</v>
      </c>
      <c r="F282" s="146" t="s">
        <v>5786</v>
      </c>
      <c r="G282" s="146" t="s">
        <v>5787</v>
      </c>
      <c r="H282" s="146" t="s">
        <v>5788</v>
      </c>
      <c r="I282" t="s">
        <v>5789</v>
      </c>
      <c r="J282" s="146" t="s">
        <v>5790</v>
      </c>
      <c r="K282" s="146" t="s">
        <v>5791</v>
      </c>
      <c r="L282" t="s">
        <v>5792</v>
      </c>
      <c r="M282" t="s">
        <v>5793</v>
      </c>
      <c r="N282" s="146" t="s">
        <v>5794</v>
      </c>
      <c r="O282" s="146" t="s">
        <v>5781</v>
      </c>
    </row>
    <row r="283" spans="1:15">
      <c r="A283" s="146" t="s">
        <v>5795</v>
      </c>
      <c r="B283" s="151" t="s">
        <v>5796</v>
      </c>
      <c r="C283" s="146" t="s">
        <v>5797</v>
      </c>
      <c r="D283" s="146" t="s">
        <v>5798</v>
      </c>
      <c r="E283" s="146" t="s">
        <v>5799</v>
      </c>
      <c r="F283" s="146" t="s">
        <v>5800</v>
      </c>
      <c r="G283" s="146" t="s">
        <v>5801</v>
      </c>
      <c r="H283" s="146" t="s">
        <v>5802</v>
      </c>
      <c r="I283" t="s">
        <v>5803</v>
      </c>
      <c r="J283" s="146" t="s">
        <v>5804</v>
      </c>
      <c r="K283" s="146" t="s">
        <v>5805</v>
      </c>
      <c r="L283" t="s">
        <v>5806</v>
      </c>
      <c r="M283" t="s">
        <v>5807</v>
      </c>
      <c r="N283" s="146" t="s">
        <v>5808</v>
      </c>
      <c r="O283" s="146" t="s">
        <v>5795</v>
      </c>
    </row>
    <row r="284" spans="1:15">
      <c r="A284" s="146" t="s">
        <v>5809</v>
      </c>
      <c r="B284" s="151" t="s">
        <v>5810</v>
      </c>
      <c r="C284" s="146" t="s">
        <v>5811</v>
      </c>
      <c r="D284" s="146" t="s">
        <v>5812</v>
      </c>
      <c r="E284" s="146" t="s">
        <v>5813</v>
      </c>
      <c r="F284" s="146" t="s">
        <v>5814</v>
      </c>
      <c r="G284" s="146" t="s">
        <v>5815</v>
      </c>
      <c r="H284" s="146" t="s">
        <v>5816</v>
      </c>
      <c r="I284" t="s">
        <v>5817</v>
      </c>
      <c r="J284" s="146" t="s">
        <v>5818</v>
      </c>
      <c r="K284" s="146" t="s">
        <v>5819</v>
      </c>
      <c r="L284" t="s">
        <v>5820</v>
      </c>
      <c r="M284" t="s">
        <v>5821</v>
      </c>
      <c r="N284" s="146" t="s">
        <v>5822</v>
      </c>
      <c r="O284" s="146" t="s">
        <v>5809</v>
      </c>
    </row>
    <row r="285" spans="1:15">
      <c r="A285" s="146" t="s">
        <v>5823</v>
      </c>
      <c r="B285" s="151" t="s">
        <v>5824</v>
      </c>
      <c r="C285" s="146" t="s">
        <v>5825</v>
      </c>
      <c r="D285" s="146" t="s">
        <v>5826</v>
      </c>
      <c r="E285" s="146" t="s">
        <v>5827</v>
      </c>
      <c r="F285" s="146" t="s">
        <v>5828</v>
      </c>
      <c r="G285" s="146" t="s">
        <v>5829</v>
      </c>
      <c r="H285" s="146" t="s">
        <v>5830</v>
      </c>
      <c r="I285" t="s">
        <v>5831</v>
      </c>
      <c r="J285" s="146" t="s">
        <v>5832</v>
      </c>
      <c r="K285" s="146" t="s">
        <v>5833</v>
      </c>
      <c r="L285" t="s">
        <v>5834</v>
      </c>
      <c r="M285" t="s">
        <v>5835</v>
      </c>
      <c r="N285" s="146" t="s">
        <v>5836</v>
      </c>
      <c r="O285" s="146" t="s">
        <v>5823</v>
      </c>
    </row>
    <row r="286" spans="1:15">
      <c r="A286" s="146" t="s">
        <v>5837</v>
      </c>
      <c r="B286" s="151" t="s">
        <v>5838</v>
      </c>
      <c r="C286" s="146" t="s">
        <v>5839</v>
      </c>
      <c r="D286" s="146" t="s">
        <v>5840</v>
      </c>
      <c r="E286" s="146" t="s">
        <v>5841</v>
      </c>
      <c r="F286" s="146" t="s">
        <v>5842</v>
      </c>
      <c r="G286" s="146" t="s">
        <v>5843</v>
      </c>
      <c r="H286" s="146" t="s">
        <v>5844</v>
      </c>
      <c r="I286" t="s">
        <v>5845</v>
      </c>
      <c r="J286" s="146" t="s">
        <v>5846</v>
      </c>
      <c r="K286" s="146" t="s">
        <v>5847</v>
      </c>
      <c r="L286" t="s">
        <v>5848</v>
      </c>
      <c r="M286" t="s">
        <v>5849</v>
      </c>
      <c r="N286" s="146" t="s">
        <v>5850</v>
      </c>
      <c r="O286" s="146" t="s">
        <v>5837</v>
      </c>
    </row>
    <row r="287" spans="1:15">
      <c r="A287" s="146" t="s">
        <v>5851</v>
      </c>
      <c r="B287" s="151" t="s">
        <v>5852</v>
      </c>
      <c r="C287" s="146" t="s">
        <v>5853</v>
      </c>
      <c r="D287" s="146" t="s">
        <v>5854</v>
      </c>
      <c r="E287" s="146" t="s">
        <v>5855</v>
      </c>
      <c r="F287" s="146" t="s">
        <v>5856</v>
      </c>
      <c r="G287" s="146" t="s">
        <v>5857</v>
      </c>
      <c r="H287" s="146" t="s">
        <v>5858</v>
      </c>
      <c r="I287" t="s">
        <v>5859</v>
      </c>
      <c r="J287" s="146" t="s">
        <v>5860</v>
      </c>
      <c r="K287" s="146" t="s">
        <v>5861</v>
      </c>
      <c r="L287" t="s">
        <v>5862</v>
      </c>
      <c r="M287" t="s">
        <v>5863</v>
      </c>
      <c r="N287" s="146" t="s">
        <v>5864</v>
      </c>
      <c r="O287" s="146" t="s">
        <v>5851</v>
      </c>
    </row>
    <row r="288" spans="1:15">
      <c r="A288" s="146" t="s">
        <v>5865</v>
      </c>
      <c r="B288" s="151" t="s">
        <v>5866</v>
      </c>
      <c r="C288" s="146" t="s">
        <v>5867</v>
      </c>
      <c r="D288" s="146" t="s">
        <v>5868</v>
      </c>
      <c r="E288" s="146" t="s">
        <v>5869</v>
      </c>
      <c r="F288" s="146" t="s">
        <v>5870</v>
      </c>
      <c r="G288" s="146" t="s">
        <v>5871</v>
      </c>
      <c r="H288" s="146" t="s">
        <v>5872</v>
      </c>
      <c r="I288" t="s">
        <v>5873</v>
      </c>
      <c r="J288" s="146" t="s">
        <v>5874</v>
      </c>
      <c r="K288" s="146" t="s">
        <v>5875</v>
      </c>
      <c r="L288" t="s">
        <v>5876</v>
      </c>
      <c r="M288" t="s">
        <v>5877</v>
      </c>
      <c r="N288" s="146" t="s">
        <v>5878</v>
      </c>
      <c r="O288" s="146" t="s">
        <v>5865</v>
      </c>
    </row>
    <row r="289" spans="1:15">
      <c r="A289" s="146" t="s">
        <v>5879</v>
      </c>
      <c r="B289" s="151" t="s">
        <v>5880</v>
      </c>
      <c r="C289" s="146" t="s">
        <v>5881</v>
      </c>
      <c r="D289" s="146" t="s">
        <v>5882</v>
      </c>
      <c r="E289" s="146" t="s">
        <v>5883</v>
      </c>
      <c r="F289" s="146" t="s">
        <v>5884</v>
      </c>
      <c r="G289" s="146" t="s">
        <v>5885</v>
      </c>
      <c r="H289" s="146" t="s">
        <v>5886</v>
      </c>
      <c r="I289" t="s">
        <v>5887</v>
      </c>
      <c r="J289" s="146" t="s">
        <v>5888</v>
      </c>
      <c r="K289" s="146" t="s">
        <v>5889</v>
      </c>
      <c r="L289" t="s">
        <v>5890</v>
      </c>
      <c r="M289" t="s">
        <v>5891</v>
      </c>
      <c r="N289" s="146" t="s">
        <v>5892</v>
      </c>
      <c r="O289" s="146" t="s">
        <v>5879</v>
      </c>
    </row>
    <row r="290" spans="1:15">
      <c r="A290" s="146" t="s">
        <v>5893</v>
      </c>
      <c r="B290" s="151" t="s">
        <v>5894</v>
      </c>
      <c r="C290" s="146" t="s">
        <v>5895</v>
      </c>
      <c r="D290" s="146" t="s">
        <v>3750</v>
      </c>
      <c r="E290" s="146" t="s">
        <v>3751</v>
      </c>
      <c r="F290" s="146" t="s">
        <v>5896</v>
      </c>
      <c r="G290" s="146" t="s">
        <v>5897</v>
      </c>
      <c r="H290" s="146" t="s">
        <v>5898</v>
      </c>
      <c r="I290" t="s">
        <v>5899</v>
      </c>
      <c r="J290" s="146" t="s">
        <v>3756</v>
      </c>
      <c r="K290" s="146" t="s">
        <v>5900</v>
      </c>
      <c r="L290" t="s">
        <v>5901</v>
      </c>
      <c r="M290" t="s">
        <v>5902</v>
      </c>
      <c r="N290" s="146" t="s">
        <v>5903</v>
      </c>
      <c r="O290" s="146" t="s">
        <v>5893</v>
      </c>
    </row>
    <row r="291" spans="1:15">
      <c r="A291" s="146" t="s">
        <v>5904</v>
      </c>
      <c r="B291" s="151" t="s">
        <v>5905</v>
      </c>
      <c r="C291" s="146" t="s">
        <v>5906</v>
      </c>
      <c r="D291" s="146" t="s">
        <v>5907</v>
      </c>
      <c r="E291" s="146" t="s">
        <v>5908</v>
      </c>
      <c r="F291" s="146" t="s">
        <v>5909</v>
      </c>
      <c r="G291" s="146" t="s">
        <v>5910</v>
      </c>
      <c r="H291" s="146" t="s">
        <v>5911</v>
      </c>
      <c r="I291" t="s">
        <v>5912</v>
      </c>
      <c r="J291" s="146" t="s">
        <v>5913</v>
      </c>
      <c r="K291" s="146" t="s">
        <v>5914</v>
      </c>
      <c r="L291" t="s">
        <v>5915</v>
      </c>
      <c r="M291" t="s">
        <v>5916</v>
      </c>
      <c r="N291" s="146" t="s">
        <v>5917</v>
      </c>
      <c r="O291" s="146" t="s">
        <v>5904</v>
      </c>
    </row>
    <row r="292" spans="1:15">
      <c r="A292" s="146" t="s">
        <v>5918</v>
      </c>
      <c r="B292" s="151" t="s">
        <v>5919</v>
      </c>
      <c r="C292" s="146" t="s">
        <v>5920</v>
      </c>
      <c r="D292" s="146" t="s">
        <v>5921</v>
      </c>
      <c r="E292" s="146" t="s">
        <v>5922</v>
      </c>
      <c r="F292" s="146" t="s">
        <v>5923</v>
      </c>
      <c r="G292" s="146" t="s">
        <v>5924</v>
      </c>
      <c r="H292" s="146" t="s">
        <v>5925</v>
      </c>
      <c r="I292" t="s">
        <v>5926</v>
      </c>
      <c r="J292" s="146" t="s">
        <v>5927</v>
      </c>
      <c r="K292" s="146" t="s">
        <v>5928</v>
      </c>
      <c r="L292" t="s">
        <v>5929</v>
      </c>
      <c r="M292" t="s">
        <v>5930</v>
      </c>
      <c r="N292" s="146" t="s">
        <v>5931</v>
      </c>
      <c r="O292" s="146" t="s">
        <v>5918</v>
      </c>
    </row>
    <row r="293" spans="1:15">
      <c r="A293" s="146" t="s">
        <v>5932</v>
      </c>
      <c r="B293" s="151" t="s">
        <v>5933</v>
      </c>
      <c r="C293" s="146" t="s">
        <v>5934</v>
      </c>
      <c r="D293" s="146" t="s">
        <v>5935</v>
      </c>
      <c r="E293" s="146" t="s">
        <v>5936</v>
      </c>
      <c r="F293" s="146" t="s">
        <v>5937</v>
      </c>
      <c r="G293" s="146" t="s">
        <v>5938</v>
      </c>
      <c r="H293" s="146" t="s">
        <v>5939</v>
      </c>
      <c r="I293" t="s">
        <v>5940</v>
      </c>
      <c r="J293" s="146" t="s">
        <v>5941</v>
      </c>
      <c r="K293" s="146" t="s">
        <v>5942</v>
      </c>
      <c r="L293" t="s">
        <v>5943</v>
      </c>
      <c r="M293" t="s">
        <v>5944</v>
      </c>
      <c r="N293" s="146" t="s">
        <v>5945</v>
      </c>
      <c r="O293" s="146" t="s">
        <v>5932</v>
      </c>
    </row>
    <row r="294" spans="1:15">
      <c r="A294" s="146" t="s">
        <v>5946</v>
      </c>
      <c r="B294" s="151" t="s">
        <v>5947</v>
      </c>
      <c r="C294" s="146" t="s">
        <v>5948</v>
      </c>
      <c r="D294" s="146" t="s">
        <v>5949</v>
      </c>
      <c r="E294" s="146" t="s">
        <v>5950</v>
      </c>
      <c r="F294" s="146" t="s">
        <v>5951</v>
      </c>
      <c r="G294" s="146" t="s">
        <v>5952</v>
      </c>
      <c r="H294" s="146" t="s">
        <v>5953</v>
      </c>
      <c r="I294" s="169" t="s">
        <v>5954</v>
      </c>
      <c r="J294" s="146" t="s">
        <v>5955</v>
      </c>
      <c r="K294" s="176" t="s">
        <v>5956</v>
      </c>
      <c r="L294" s="169" t="s">
        <v>5957</v>
      </c>
      <c r="M294" s="169" t="s">
        <v>5958</v>
      </c>
      <c r="N294" s="146" t="s">
        <v>5959</v>
      </c>
      <c r="O294" s="146" t="s">
        <v>5946</v>
      </c>
    </row>
    <row r="295" spans="1:15">
      <c r="A295" s="146" t="s">
        <v>5960</v>
      </c>
      <c r="B295" s="151" t="s">
        <v>5961</v>
      </c>
      <c r="C295" s="146" t="s">
        <v>5962</v>
      </c>
      <c r="D295" s="146" t="s">
        <v>5963</v>
      </c>
      <c r="E295" s="146" t="s">
        <v>5964</v>
      </c>
      <c r="F295" s="146" t="s">
        <v>5965</v>
      </c>
      <c r="G295" s="146" t="s">
        <v>5966</v>
      </c>
      <c r="H295" s="146" t="s">
        <v>5967</v>
      </c>
      <c r="I295" t="s">
        <v>5968</v>
      </c>
      <c r="J295" s="146" t="s">
        <v>5969</v>
      </c>
      <c r="K295" s="146" t="s">
        <v>5970</v>
      </c>
      <c r="L295" t="s">
        <v>5971</v>
      </c>
      <c r="M295" t="s">
        <v>5972</v>
      </c>
      <c r="N295" s="146" t="s">
        <v>5973</v>
      </c>
      <c r="O295" s="146" t="s">
        <v>5960</v>
      </c>
    </row>
    <row r="296" spans="1:15">
      <c r="A296" s="146" t="s">
        <v>5974</v>
      </c>
      <c r="B296" s="151" t="s">
        <v>5975</v>
      </c>
      <c r="C296" s="146" t="s">
        <v>5976</v>
      </c>
      <c r="D296" s="146" t="s">
        <v>5977</v>
      </c>
      <c r="E296" s="146" t="s">
        <v>5978</v>
      </c>
      <c r="F296" s="146" t="s">
        <v>5979</v>
      </c>
      <c r="G296" s="146" t="s">
        <v>5980</v>
      </c>
      <c r="H296" s="146" t="s">
        <v>5981</v>
      </c>
      <c r="I296" t="s">
        <v>5982</v>
      </c>
      <c r="J296" s="146" t="s">
        <v>5983</v>
      </c>
      <c r="K296" s="146" t="s">
        <v>5984</v>
      </c>
      <c r="L296" t="s">
        <v>5985</v>
      </c>
      <c r="M296" t="s">
        <v>5986</v>
      </c>
      <c r="N296" s="146" t="s">
        <v>5987</v>
      </c>
      <c r="O296" s="146" t="s">
        <v>5974</v>
      </c>
    </row>
    <row r="297" spans="1:15">
      <c r="A297" s="146" t="s">
        <v>5988</v>
      </c>
      <c r="B297" s="151" t="s">
        <v>5989</v>
      </c>
      <c r="C297" s="146" t="s">
        <v>5990</v>
      </c>
      <c r="D297" s="146" t="s">
        <v>5991</v>
      </c>
      <c r="E297" s="146" t="s">
        <v>5992</v>
      </c>
      <c r="F297" s="146" t="s">
        <v>5993</v>
      </c>
      <c r="G297" s="146" t="s">
        <v>5994</v>
      </c>
      <c r="H297" s="146" t="s">
        <v>5995</v>
      </c>
      <c r="I297" t="s">
        <v>5996</v>
      </c>
      <c r="J297" s="146" t="s">
        <v>5997</v>
      </c>
      <c r="K297" s="146" t="s">
        <v>5998</v>
      </c>
      <c r="L297" t="s">
        <v>5999</v>
      </c>
      <c r="M297" t="s">
        <v>6000</v>
      </c>
      <c r="N297" s="146" t="s">
        <v>6001</v>
      </c>
      <c r="O297" s="146" t="s">
        <v>5988</v>
      </c>
    </row>
    <row r="298" spans="1:15">
      <c r="A298" s="146" t="s">
        <v>6002</v>
      </c>
      <c r="B298" s="151" t="s">
        <v>6003</v>
      </c>
      <c r="C298" s="146" t="s">
        <v>6004</v>
      </c>
      <c r="D298" s="146" t="s">
        <v>6005</v>
      </c>
      <c r="E298" s="146" t="s">
        <v>6006</v>
      </c>
      <c r="F298" s="146" t="s">
        <v>6007</v>
      </c>
      <c r="G298" s="146" t="s">
        <v>6008</v>
      </c>
      <c r="H298" s="146" t="s">
        <v>6009</v>
      </c>
      <c r="I298" s="169" t="s">
        <v>6010</v>
      </c>
      <c r="J298" s="146" t="s">
        <v>6011</v>
      </c>
      <c r="K298" s="176" t="s">
        <v>6012</v>
      </c>
      <c r="L298" t="s">
        <v>6013</v>
      </c>
      <c r="M298" t="s">
        <v>6014</v>
      </c>
      <c r="N298" s="146" t="s">
        <v>6015</v>
      </c>
      <c r="O298" s="146" t="s">
        <v>6002</v>
      </c>
    </row>
    <row r="299" spans="1:15">
      <c r="A299" s="146" t="s">
        <v>2541</v>
      </c>
      <c r="B299" s="151" t="s">
        <v>6016</v>
      </c>
      <c r="C299" s="146" t="s">
        <v>6017</v>
      </c>
      <c r="D299" s="146" t="s">
        <v>6018</v>
      </c>
      <c r="E299" s="146" t="s">
        <v>6019</v>
      </c>
      <c r="F299" s="146" t="s">
        <v>6020</v>
      </c>
      <c r="G299" s="146" t="s">
        <v>6021</v>
      </c>
      <c r="H299" s="146" t="s">
        <v>6022</v>
      </c>
      <c r="I299" t="s">
        <v>6023</v>
      </c>
      <c r="J299" s="146" t="s">
        <v>6024</v>
      </c>
      <c r="K299" s="146" t="s">
        <v>6025</v>
      </c>
      <c r="L299" t="s">
        <v>6026</v>
      </c>
      <c r="M299" t="s">
        <v>6027</v>
      </c>
      <c r="N299" s="146" t="s">
        <v>6028</v>
      </c>
      <c r="O299" s="146" t="s">
        <v>2541</v>
      </c>
    </row>
    <row r="300" spans="1:15">
      <c r="A300" s="146" t="s">
        <v>6029</v>
      </c>
      <c r="B300" s="151" t="s">
        <v>6030</v>
      </c>
      <c r="C300" s="146" t="s">
        <v>6031</v>
      </c>
      <c r="D300" s="146" t="s">
        <v>6032</v>
      </c>
      <c r="E300" s="146" t="s">
        <v>6033</v>
      </c>
      <c r="F300" s="146" t="s">
        <v>6034</v>
      </c>
      <c r="G300" s="146" t="s">
        <v>6035</v>
      </c>
      <c r="H300" s="146" t="s">
        <v>6036</v>
      </c>
      <c r="I300" t="s">
        <v>6037</v>
      </c>
      <c r="J300" s="146" t="s">
        <v>6038</v>
      </c>
      <c r="K300" s="146" t="s">
        <v>6039</v>
      </c>
      <c r="L300" t="s">
        <v>6040</v>
      </c>
      <c r="M300" t="s">
        <v>6041</v>
      </c>
      <c r="N300" s="146" t="s">
        <v>6042</v>
      </c>
      <c r="O300" s="146" t="s">
        <v>6029</v>
      </c>
    </row>
    <row r="301" spans="1:15">
      <c r="A301" s="146" t="s">
        <v>6043</v>
      </c>
      <c r="B301" s="151" t="s">
        <v>6044</v>
      </c>
      <c r="C301" s="146" t="s">
        <v>6045</v>
      </c>
      <c r="D301" s="146" t="s">
        <v>5770</v>
      </c>
      <c r="E301" s="146" t="s">
        <v>5771</v>
      </c>
      <c r="F301" s="146" t="s">
        <v>6046</v>
      </c>
      <c r="G301" s="146" t="s">
        <v>6047</v>
      </c>
      <c r="H301" s="146" t="s">
        <v>6048</v>
      </c>
      <c r="I301" t="s">
        <v>6049</v>
      </c>
      <c r="J301" s="146" t="s">
        <v>6050</v>
      </c>
      <c r="K301" s="146" t="s">
        <v>6051</v>
      </c>
      <c r="L301" t="s">
        <v>6052</v>
      </c>
      <c r="M301" t="s">
        <v>6053</v>
      </c>
      <c r="N301" s="146" t="s">
        <v>6054</v>
      </c>
      <c r="O301" s="146" t="s">
        <v>6043</v>
      </c>
    </row>
    <row r="302" spans="1:15">
      <c r="A302" s="146" t="s">
        <v>6055</v>
      </c>
      <c r="B302" s="151" t="s">
        <v>6056</v>
      </c>
      <c r="C302" s="146" t="s">
        <v>6057</v>
      </c>
      <c r="D302" s="146" t="s">
        <v>6058</v>
      </c>
      <c r="E302" s="146" t="s">
        <v>6059</v>
      </c>
      <c r="F302" s="146" t="s">
        <v>6060</v>
      </c>
      <c r="G302" s="146" t="s">
        <v>6061</v>
      </c>
      <c r="H302" s="146" t="s">
        <v>6062</v>
      </c>
      <c r="I302" t="s">
        <v>6063</v>
      </c>
      <c r="J302" s="146" t="s">
        <v>6064</v>
      </c>
      <c r="K302" s="146" t="s">
        <v>6065</v>
      </c>
      <c r="L302" t="s">
        <v>6066</v>
      </c>
      <c r="M302" t="s">
        <v>6067</v>
      </c>
      <c r="N302" s="146" t="s">
        <v>6068</v>
      </c>
      <c r="O302" s="146" t="s">
        <v>6055</v>
      </c>
    </row>
    <row r="303" spans="1:15">
      <c r="A303" s="146" t="s">
        <v>6069</v>
      </c>
      <c r="B303" s="151" t="s">
        <v>6070</v>
      </c>
      <c r="C303" s="146" t="s">
        <v>6071</v>
      </c>
      <c r="D303" s="146" t="s">
        <v>6072</v>
      </c>
      <c r="E303" s="146" t="s">
        <v>6073</v>
      </c>
      <c r="F303" s="146" t="s">
        <v>6074</v>
      </c>
      <c r="G303" s="146" t="s">
        <v>6075</v>
      </c>
      <c r="H303" s="146" t="s">
        <v>6076</v>
      </c>
      <c r="I303" t="s">
        <v>6077</v>
      </c>
      <c r="J303" s="146" t="s">
        <v>6078</v>
      </c>
      <c r="K303" s="146" t="s">
        <v>6079</v>
      </c>
      <c r="L303" t="s">
        <v>6080</v>
      </c>
      <c r="M303" t="s">
        <v>6081</v>
      </c>
      <c r="N303" s="146" t="s">
        <v>6082</v>
      </c>
      <c r="O303" s="146" t="s">
        <v>6069</v>
      </c>
    </row>
    <row r="304" spans="1:15">
      <c r="A304" s="146" t="s">
        <v>6083</v>
      </c>
      <c r="B304" s="151" t="s">
        <v>6084</v>
      </c>
      <c r="C304" s="146" t="s">
        <v>6085</v>
      </c>
      <c r="D304" s="146" t="s">
        <v>6086</v>
      </c>
      <c r="E304" s="146" t="s">
        <v>6087</v>
      </c>
      <c r="F304" s="146" t="s">
        <v>6088</v>
      </c>
      <c r="G304" s="146" t="s">
        <v>6089</v>
      </c>
      <c r="H304" s="146" t="s">
        <v>6090</v>
      </c>
      <c r="I304" t="s">
        <v>6091</v>
      </c>
      <c r="J304" s="146" t="s">
        <v>6092</v>
      </c>
      <c r="K304" s="146" t="s">
        <v>6093</v>
      </c>
      <c r="L304" t="s">
        <v>6094</v>
      </c>
      <c r="M304" t="s">
        <v>6095</v>
      </c>
      <c r="N304" s="146" t="s">
        <v>6096</v>
      </c>
      <c r="O304" s="146" t="s">
        <v>6083</v>
      </c>
    </row>
    <row r="305" spans="1:15">
      <c r="A305" s="146" t="s">
        <v>6097</v>
      </c>
      <c r="B305" s="151" t="s">
        <v>6098</v>
      </c>
      <c r="C305" s="146" t="s">
        <v>6099</v>
      </c>
      <c r="D305" s="146" t="s">
        <v>6100</v>
      </c>
      <c r="E305" s="146" t="s">
        <v>6101</v>
      </c>
      <c r="F305" s="146" t="s">
        <v>6102</v>
      </c>
      <c r="G305" s="146" t="s">
        <v>6103</v>
      </c>
      <c r="H305" s="146" t="s">
        <v>6104</v>
      </c>
      <c r="I305" t="s">
        <v>6105</v>
      </c>
      <c r="J305" s="146" t="s">
        <v>6106</v>
      </c>
      <c r="K305" s="146" t="s">
        <v>6107</v>
      </c>
      <c r="L305" t="s">
        <v>6108</v>
      </c>
      <c r="M305" t="s">
        <v>6109</v>
      </c>
      <c r="N305" s="146" t="s">
        <v>6110</v>
      </c>
      <c r="O305" s="146" t="s">
        <v>6097</v>
      </c>
    </row>
    <row r="306" spans="1:15">
      <c r="A306" s="146" t="s">
        <v>6111</v>
      </c>
      <c r="B306" s="151" t="s">
        <v>6112</v>
      </c>
      <c r="C306" s="146" t="s">
        <v>6113</v>
      </c>
      <c r="D306" s="146" t="s">
        <v>6114</v>
      </c>
      <c r="E306" s="146" t="s">
        <v>6115</v>
      </c>
      <c r="F306" s="146" t="s">
        <v>6116</v>
      </c>
      <c r="G306" s="146" t="s">
        <v>6117</v>
      </c>
      <c r="H306" s="146" t="s">
        <v>6118</v>
      </c>
      <c r="I306" t="s">
        <v>6119</v>
      </c>
      <c r="J306" s="146" t="s">
        <v>6120</v>
      </c>
      <c r="K306" s="146" t="s">
        <v>6121</v>
      </c>
      <c r="L306" t="s">
        <v>6122</v>
      </c>
      <c r="M306" t="s">
        <v>6123</v>
      </c>
      <c r="N306" s="146" t="s">
        <v>6124</v>
      </c>
      <c r="O306" s="146" t="s">
        <v>6111</v>
      </c>
    </row>
    <row r="307" spans="1:15">
      <c r="A307" s="146" t="s">
        <v>6125</v>
      </c>
      <c r="B307" s="151" t="s">
        <v>6126</v>
      </c>
      <c r="C307" s="146" t="s">
        <v>6127</v>
      </c>
      <c r="D307" s="146" t="s">
        <v>6128</v>
      </c>
      <c r="E307" s="146" t="s">
        <v>6129</v>
      </c>
      <c r="F307" s="146" t="s">
        <v>6130</v>
      </c>
      <c r="G307" s="146" t="s">
        <v>6131</v>
      </c>
      <c r="H307" s="146" t="s">
        <v>6132</v>
      </c>
      <c r="I307" t="s">
        <v>6133</v>
      </c>
      <c r="J307" s="146" t="s">
        <v>6134</v>
      </c>
      <c r="K307" s="146" t="s">
        <v>6135</v>
      </c>
      <c r="L307" t="s">
        <v>6136</v>
      </c>
      <c r="M307" t="s">
        <v>6137</v>
      </c>
      <c r="N307" s="146" t="s">
        <v>6138</v>
      </c>
      <c r="O307" s="146" t="s">
        <v>6125</v>
      </c>
    </row>
    <row r="308" spans="1:15">
      <c r="A308" s="146" t="s">
        <v>6139</v>
      </c>
      <c r="B308" s="151" t="s">
        <v>6140</v>
      </c>
      <c r="C308" s="146" t="s">
        <v>6141</v>
      </c>
      <c r="D308" s="146" t="s">
        <v>6142</v>
      </c>
      <c r="E308" s="146" t="s">
        <v>6143</v>
      </c>
      <c r="F308" s="146" t="s">
        <v>6144</v>
      </c>
      <c r="G308" s="146" t="s">
        <v>6145</v>
      </c>
      <c r="H308" s="146" t="s">
        <v>6146</v>
      </c>
      <c r="I308" t="s">
        <v>6147</v>
      </c>
      <c r="J308" s="146" t="s">
        <v>6148</v>
      </c>
      <c r="K308" s="146" t="s">
        <v>6149</v>
      </c>
      <c r="L308" t="s">
        <v>6150</v>
      </c>
      <c r="M308" t="s">
        <v>6151</v>
      </c>
      <c r="N308" s="146" t="s">
        <v>6152</v>
      </c>
      <c r="O308" s="146" t="s">
        <v>6139</v>
      </c>
    </row>
    <row r="309" spans="1:15">
      <c r="A309" s="146" t="s">
        <v>6153</v>
      </c>
      <c r="B309" s="151" t="s">
        <v>6154</v>
      </c>
      <c r="C309" s="146" t="s">
        <v>6155</v>
      </c>
      <c r="D309" s="146" t="s">
        <v>6156</v>
      </c>
      <c r="E309" s="146" t="s">
        <v>6157</v>
      </c>
      <c r="F309" s="146" t="s">
        <v>5758</v>
      </c>
      <c r="G309" s="146" t="s">
        <v>6158</v>
      </c>
      <c r="H309" s="146" t="s">
        <v>6159</v>
      </c>
      <c r="I309" t="s">
        <v>6160</v>
      </c>
      <c r="J309" s="146" t="s">
        <v>6161</v>
      </c>
      <c r="K309" s="176" t="s">
        <v>6162</v>
      </c>
      <c r="L309" t="s">
        <v>6163</v>
      </c>
      <c r="M309" t="s">
        <v>6164</v>
      </c>
      <c r="N309" s="146" t="s">
        <v>6165</v>
      </c>
      <c r="O309" s="146" t="s">
        <v>6153</v>
      </c>
    </row>
    <row r="310" spans="1:15">
      <c r="A310" s="146" t="s">
        <v>2524</v>
      </c>
      <c r="B310" s="151" t="s">
        <v>6166</v>
      </c>
      <c r="C310" s="146" t="s">
        <v>6167</v>
      </c>
      <c r="D310" s="146" t="s">
        <v>6168</v>
      </c>
      <c r="E310" s="146" t="s">
        <v>6169</v>
      </c>
      <c r="F310" s="146" t="s">
        <v>6170</v>
      </c>
      <c r="G310" s="146" t="s">
        <v>6171</v>
      </c>
      <c r="H310" s="146" t="s">
        <v>6172</v>
      </c>
      <c r="I310" t="s">
        <v>6173</v>
      </c>
      <c r="J310" s="146" t="s">
        <v>6174</v>
      </c>
      <c r="K310" s="146" t="s">
        <v>6175</v>
      </c>
      <c r="L310" t="s">
        <v>6176</v>
      </c>
      <c r="M310" t="s">
        <v>6177</v>
      </c>
      <c r="N310" s="146" t="s">
        <v>6178</v>
      </c>
      <c r="O310" s="146" t="s">
        <v>2524</v>
      </c>
    </row>
    <row r="311" spans="1:15">
      <c r="A311" s="146" t="s">
        <v>6179</v>
      </c>
      <c r="B311" s="151" t="s">
        <v>6180</v>
      </c>
      <c r="C311" s="146" t="s">
        <v>6181</v>
      </c>
      <c r="D311" s="146" t="s">
        <v>6182</v>
      </c>
      <c r="E311" s="146" t="s">
        <v>6183</v>
      </c>
      <c r="F311" s="146" t="s">
        <v>6184</v>
      </c>
      <c r="G311" s="146" t="s">
        <v>6185</v>
      </c>
      <c r="H311" s="146" t="s">
        <v>6186</v>
      </c>
      <c r="I311" t="s">
        <v>6187</v>
      </c>
      <c r="J311" s="146" t="s">
        <v>6188</v>
      </c>
      <c r="K311" s="146" t="s">
        <v>6189</v>
      </c>
      <c r="L311" t="s">
        <v>6190</v>
      </c>
      <c r="M311" t="s">
        <v>6191</v>
      </c>
      <c r="N311" s="146" t="s">
        <v>6192</v>
      </c>
      <c r="O311" s="146" t="s">
        <v>6179</v>
      </c>
    </row>
    <row r="312" spans="1:15">
      <c r="A312" s="146" t="s">
        <v>6193</v>
      </c>
      <c r="B312" s="151" t="s">
        <v>6194</v>
      </c>
      <c r="C312" s="146" t="s">
        <v>6195</v>
      </c>
      <c r="D312" s="146" t="s">
        <v>6196</v>
      </c>
      <c r="E312" s="146" t="s">
        <v>6197</v>
      </c>
      <c r="F312" s="146" t="s">
        <v>6198</v>
      </c>
      <c r="G312" s="146" t="s">
        <v>6199</v>
      </c>
      <c r="H312" s="146" t="s">
        <v>6200</v>
      </c>
      <c r="I312" t="s">
        <v>6201</v>
      </c>
      <c r="J312" s="146" t="s">
        <v>6202</v>
      </c>
      <c r="K312" s="146" t="s">
        <v>6203</v>
      </c>
      <c r="L312" t="s">
        <v>6204</v>
      </c>
      <c r="M312" t="s">
        <v>6205</v>
      </c>
      <c r="N312" s="146" t="s">
        <v>6206</v>
      </c>
      <c r="O312" s="146" t="s">
        <v>6193</v>
      </c>
    </row>
    <row r="313" spans="1:15">
      <c r="A313" s="146" t="s">
        <v>6207</v>
      </c>
      <c r="B313" s="151" t="s">
        <v>6208</v>
      </c>
      <c r="C313" s="146" t="s">
        <v>6209</v>
      </c>
      <c r="D313" s="146" t="s">
        <v>6210</v>
      </c>
      <c r="E313" s="146" t="s">
        <v>6211</v>
      </c>
      <c r="F313" s="146" t="s">
        <v>6212</v>
      </c>
      <c r="G313" s="146" t="s">
        <v>6213</v>
      </c>
      <c r="H313" s="146" t="s">
        <v>6214</v>
      </c>
      <c r="I313" t="s">
        <v>6215</v>
      </c>
      <c r="J313" s="146" t="s">
        <v>6216</v>
      </c>
      <c r="K313" s="146" t="s">
        <v>6217</v>
      </c>
      <c r="L313" t="s">
        <v>6218</v>
      </c>
      <c r="M313" t="s">
        <v>6219</v>
      </c>
      <c r="N313" s="146" t="s">
        <v>6220</v>
      </c>
      <c r="O313" s="146" t="s">
        <v>6207</v>
      </c>
    </row>
    <row r="314" spans="1:15">
      <c r="A314" s="146" t="s">
        <v>6221</v>
      </c>
      <c r="B314" s="151" t="s">
        <v>6222</v>
      </c>
      <c r="C314" s="146" t="s">
        <v>6223</v>
      </c>
      <c r="D314" s="146" t="s">
        <v>6224</v>
      </c>
      <c r="E314" s="146" t="s">
        <v>6225</v>
      </c>
      <c r="F314" s="146" t="s">
        <v>6226</v>
      </c>
      <c r="G314" s="146" t="s">
        <v>6227</v>
      </c>
      <c r="H314" s="146" t="s">
        <v>6228</v>
      </c>
      <c r="I314" t="s">
        <v>6229</v>
      </c>
      <c r="J314" s="146" t="s">
        <v>6230</v>
      </c>
      <c r="K314" s="146" t="s">
        <v>6231</v>
      </c>
      <c r="L314" t="s">
        <v>6232</v>
      </c>
      <c r="M314" t="s">
        <v>6233</v>
      </c>
      <c r="N314" s="146" t="s">
        <v>6234</v>
      </c>
      <c r="O314" s="146" t="s">
        <v>6221</v>
      </c>
    </row>
    <row r="315" spans="1:15">
      <c r="A315" s="146" t="s">
        <v>6235</v>
      </c>
      <c r="B315" s="151" t="s">
        <v>6236</v>
      </c>
      <c r="C315" s="146" t="s">
        <v>6237</v>
      </c>
      <c r="D315" s="146" t="s">
        <v>6238</v>
      </c>
      <c r="E315" s="146" t="s">
        <v>6239</v>
      </c>
      <c r="F315" s="146" t="s">
        <v>6240</v>
      </c>
      <c r="G315" s="146" t="s">
        <v>6241</v>
      </c>
      <c r="H315" s="146" t="s">
        <v>6242</v>
      </c>
      <c r="I315" t="s">
        <v>6243</v>
      </c>
      <c r="J315" s="146" t="s">
        <v>6244</v>
      </c>
      <c r="K315" s="146" t="s">
        <v>6245</v>
      </c>
      <c r="L315" t="s">
        <v>6246</v>
      </c>
      <c r="M315" t="s">
        <v>6247</v>
      </c>
      <c r="N315" s="146" t="s">
        <v>6248</v>
      </c>
      <c r="O315" s="146" t="s">
        <v>6235</v>
      </c>
    </row>
    <row r="316" spans="1:15">
      <c r="A316" s="146" t="s">
        <v>6249</v>
      </c>
      <c r="B316" s="151" t="s">
        <v>6250</v>
      </c>
      <c r="C316" s="146" t="s">
        <v>6251</v>
      </c>
      <c r="D316" s="146" t="s">
        <v>6252</v>
      </c>
      <c r="E316" s="146" t="s">
        <v>6253</v>
      </c>
      <c r="F316" s="146" t="s">
        <v>6254</v>
      </c>
      <c r="G316" s="146" t="s">
        <v>6255</v>
      </c>
      <c r="H316" s="146" t="s">
        <v>6256</v>
      </c>
      <c r="I316" t="s">
        <v>6257</v>
      </c>
      <c r="J316" s="146" t="s">
        <v>6258</v>
      </c>
      <c r="K316" s="146" t="s">
        <v>6259</v>
      </c>
      <c r="L316" t="s">
        <v>6260</v>
      </c>
      <c r="M316" t="s">
        <v>6261</v>
      </c>
      <c r="N316" s="146" t="s">
        <v>6262</v>
      </c>
      <c r="O316" s="146" t="s">
        <v>6249</v>
      </c>
    </row>
    <row r="317" spans="1:15">
      <c r="A317" s="146" t="s">
        <v>6263</v>
      </c>
      <c r="B317" s="151" t="s">
        <v>6264</v>
      </c>
      <c r="C317" s="146" t="s">
        <v>6265</v>
      </c>
      <c r="D317" s="146" t="s">
        <v>6266</v>
      </c>
      <c r="E317" s="146" t="s">
        <v>6267</v>
      </c>
      <c r="F317" s="146" t="s">
        <v>6268</v>
      </c>
      <c r="G317" s="146" t="s">
        <v>6269</v>
      </c>
      <c r="H317" s="146" t="s">
        <v>6270</v>
      </c>
      <c r="I317" t="s">
        <v>6271</v>
      </c>
      <c r="J317" s="146" t="s">
        <v>6272</v>
      </c>
      <c r="K317" s="146" t="s">
        <v>6273</v>
      </c>
      <c r="L317" t="s">
        <v>6274</v>
      </c>
      <c r="M317" t="s">
        <v>6275</v>
      </c>
      <c r="N317" s="146" t="s">
        <v>6276</v>
      </c>
      <c r="O317" s="146" t="s">
        <v>6263</v>
      </c>
    </row>
    <row r="318" spans="1:15">
      <c r="A318" s="146" t="s">
        <v>6277</v>
      </c>
      <c r="B318" s="151" t="s">
        <v>6278</v>
      </c>
      <c r="C318" s="146" t="s">
        <v>6279</v>
      </c>
      <c r="D318" s="146" t="s">
        <v>6280</v>
      </c>
      <c r="E318" s="146" t="s">
        <v>6281</v>
      </c>
      <c r="F318" s="146" t="s">
        <v>6282</v>
      </c>
      <c r="G318" s="146" t="s">
        <v>6283</v>
      </c>
      <c r="H318" s="146" t="s">
        <v>6284</v>
      </c>
      <c r="I318" t="s">
        <v>6285</v>
      </c>
      <c r="J318" s="146" t="s">
        <v>6286</v>
      </c>
      <c r="K318" s="146" t="s">
        <v>6287</v>
      </c>
      <c r="L318" t="s">
        <v>6288</v>
      </c>
      <c r="M318" t="s">
        <v>6289</v>
      </c>
      <c r="N318" s="146" t="s">
        <v>6290</v>
      </c>
      <c r="O318" s="146" t="s">
        <v>6277</v>
      </c>
    </row>
    <row r="319" spans="1:15">
      <c r="A319" s="146" t="s">
        <v>6291</v>
      </c>
      <c r="B319" s="151" t="s">
        <v>6292</v>
      </c>
      <c r="C319" s="146" t="s">
        <v>6293</v>
      </c>
      <c r="D319" s="146" t="s">
        <v>6294</v>
      </c>
      <c r="E319" s="146" t="s">
        <v>6295</v>
      </c>
      <c r="F319" s="146" t="s">
        <v>6296</v>
      </c>
      <c r="G319" s="146" t="s">
        <v>6297</v>
      </c>
      <c r="H319" s="146" t="s">
        <v>6298</v>
      </c>
      <c r="I319" t="s">
        <v>6299</v>
      </c>
      <c r="J319" s="146" t="s">
        <v>6300</v>
      </c>
      <c r="K319" s="146" t="s">
        <v>6301</v>
      </c>
      <c r="L319" t="s">
        <v>6302</v>
      </c>
      <c r="M319" t="s">
        <v>6303</v>
      </c>
      <c r="N319" s="146" t="s">
        <v>6304</v>
      </c>
      <c r="O319" s="146" t="s">
        <v>6291</v>
      </c>
    </row>
    <row r="320" spans="1:15">
      <c r="A320" s="146" t="s">
        <v>6305</v>
      </c>
      <c r="B320" s="151" t="s">
        <v>6306</v>
      </c>
      <c r="C320" s="146" t="s">
        <v>6307</v>
      </c>
      <c r="D320" s="146" t="s">
        <v>6308</v>
      </c>
      <c r="E320" s="146" t="s">
        <v>6309</v>
      </c>
      <c r="F320" s="146" t="s">
        <v>6310</v>
      </c>
      <c r="G320" s="146" t="s">
        <v>6311</v>
      </c>
      <c r="H320" s="146" t="s">
        <v>6312</v>
      </c>
      <c r="I320" t="s">
        <v>6313</v>
      </c>
      <c r="J320" s="146" t="s">
        <v>6314</v>
      </c>
      <c r="K320" s="146" t="s">
        <v>6315</v>
      </c>
      <c r="L320" t="s">
        <v>6316</v>
      </c>
      <c r="M320" t="s">
        <v>6317</v>
      </c>
      <c r="N320" s="146" t="s">
        <v>6318</v>
      </c>
      <c r="O320" s="146" t="s">
        <v>6305</v>
      </c>
    </row>
    <row r="321" spans="1:15">
      <c r="A321" s="146" t="s">
        <v>6319</v>
      </c>
      <c r="B321" s="151" t="s">
        <v>6320</v>
      </c>
      <c r="C321" s="146" t="s">
        <v>6321</v>
      </c>
      <c r="D321" s="146" t="s">
        <v>6322</v>
      </c>
      <c r="E321" s="146" t="s">
        <v>6323</v>
      </c>
      <c r="F321" s="146" t="s">
        <v>6324</v>
      </c>
      <c r="G321" s="146" t="s">
        <v>6325</v>
      </c>
      <c r="H321" s="146" t="s">
        <v>6326</v>
      </c>
      <c r="I321" t="s">
        <v>6327</v>
      </c>
      <c r="J321" s="146" t="s">
        <v>6328</v>
      </c>
      <c r="K321" s="146" t="s">
        <v>6329</v>
      </c>
      <c r="L321" t="s">
        <v>6330</v>
      </c>
      <c r="M321" t="s">
        <v>6331</v>
      </c>
      <c r="N321" s="146" t="s">
        <v>6332</v>
      </c>
      <c r="O321" s="146" t="s">
        <v>6319</v>
      </c>
    </row>
    <row r="322" spans="1:15">
      <c r="A322" s="146" t="s">
        <v>6333</v>
      </c>
      <c r="B322" s="151" t="s">
        <v>6334</v>
      </c>
      <c r="C322" s="146" t="s">
        <v>6335</v>
      </c>
      <c r="D322" s="146" t="s">
        <v>6336</v>
      </c>
      <c r="E322" s="146" t="s">
        <v>6337</v>
      </c>
      <c r="F322" s="146" t="s">
        <v>6338</v>
      </c>
      <c r="G322" s="146" t="s">
        <v>6339</v>
      </c>
      <c r="H322" s="146" t="s">
        <v>6340</v>
      </c>
      <c r="I322" t="s">
        <v>6341</v>
      </c>
      <c r="J322" s="146" t="s">
        <v>6342</v>
      </c>
      <c r="K322" s="146" t="s">
        <v>6343</v>
      </c>
      <c r="L322" t="s">
        <v>6344</v>
      </c>
      <c r="M322" t="s">
        <v>6345</v>
      </c>
      <c r="N322" s="146" t="s">
        <v>6346</v>
      </c>
      <c r="O322" s="146" t="s">
        <v>6333</v>
      </c>
    </row>
    <row r="323" spans="1:15">
      <c r="A323" s="146" t="s">
        <v>6347</v>
      </c>
      <c r="B323" s="151" t="s">
        <v>6348</v>
      </c>
      <c r="C323" s="146" t="s">
        <v>6349</v>
      </c>
      <c r="D323" s="146" t="s">
        <v>6350</v>
      </c>
      <c r="E323" s="146" t="s">
        <v>6351</v>
      </c>
      <c r="F323" s="146" t="s">
        <v>6352</v>
      </c>
      <c r="G323" s="146" t="s">
        <v>6353</v>
      </c>
      <c r="H323" s="146" t="s">
        <v>6354</v>
      </c>
      <c r="I323" t="s">
        <v>6355</v>
      </c>
      <c r="J323" s="146" t="s">
        <v>6356</v>
      </c>
      <c r="K323" s="146" t="s">
        <v>6357</v>
      </c>
      <c r="L323" t="s">
        <v>6358</v>
      </c>
      <c r="M323" t="s">
        <v>6359</v>
      </c>
      <c r="N323" s="146" t="s">
        <v>6360</v>
      </c>
      <c r="O323" s="146" t="s">
        <v>6347</v>
      </c>
    </row>
    <row r="324" spans="1:15">
      <c r="A324" s="146" t="s">
        <v>6361</v>
      </c>
      <c r="B324" s="151" t="s">
        <v>6362</v>
      </c>
      <c r="C324" s="146" t="s">
        <v>6363</v>
      </c>
      <c r="D324" s="146" t="s">
        <v>6364</v>
      </c>
      <c r="E324" s="146" t="s">
        <v>6365</v>
      </c>
      <c r="F324" s="146" t="s">
        <v>6366</v>
      </c>
      <c r="G324" s="146" t="s">
        <v>6367</v>
      </c>
      <c r="H324" s="146" t="s">
        <v>6368</v>
      </c>
      <c r="I324" t="s">
        <v>6369</v>
      </c>
      <c r="J324" s="146" t="s">
        <v>6370</v>
      </c>
      <c r="K324" s="146" t="s">
        <v>6371</v>
      </c>
      <c r="L324" t="s">
        <v>6372</v>
      </c>
      <c r="M324" t="s">
        <v>6373</v>
      </c>
      <c r="N324" s="146" t="s">
        <v>6374</v>
      </c>
      <c r="O324" s="146" t="s">
        <v>6361</v>
      </c>
    </row>
    <row r="325" spans="1:15">
      <c r="A325" s="146" t="s">
        <v>6375</v>
      </c>
      <c r="B325" s="151" t="s">
        <v>6376</v>
      </c>
      <c r="C325" s="146" t="s">
        <v>6377</v>
      </c>
      <c r="D325" s="146" t="s">
        <v>6378</v>
      </c>
      <c r="E325" s="146" t="s">
        <v>6379</v>
      </c>
      <c r="F325" s="146" t="s">
        <v>6380</v>
      </c>
      <c r="G325" s="146" t="s">
        <v>6381</v>
      </c>
      <c r="H325" s="146" t="s">
        <v>6382</v>
      </c>
      <c r="I325" t="s">
        <v>6383</v>
      </c>
      <c r="J325" s="146" t="s">
        <v>6384</v>
      </c>
      <c r="K325" s="146" t="s">
        <v>6385</v>
      </c>
      <c r="L325" t="s">
        <v>6386</v>
      </c>
      <c r="M325" t="s">
        <v>6387</v>
      </c>
      <c r="N325" s="146" t="s">
        <v>6388</v>
      </c>
      <c r="O325" s="146" t="s">
        <v>6375</v>
      </c>
    </row>
    <row r="326" spans="1:15">
      <c r="A326" s="146" t="s">
        <v>6389</v>
      </c>
      <c r="B326" s="151" t="s">
        <v>6390</v>
      </c>
      <c r="C326" s="146" t="s">
        <v>6391</v>
      </c>
      <c r="D326" s="146" t="s">
        <v>6392</v>
      </c>
      <c r="E326" s="146" t="s">
        <v>6393</v>
      </c>
      <c r="F326" s="146" t="s">
        <v>6394</v>
      </c>
      <c r="G326" s="146" t="s">
        <v>6395</v>
      </c>
      <c r="H326" s="146" t="s">
        <v>6396</v>
      </c>
      <c r="I326" t="s">
        <v>6397</v>
      </c>
      <c r="J326" s="146" t="s">
        <v>6398</v>
      </c>
      <c r="K326" s="146" t="s">
        <v>6399</v>
      </c>
      <c r="L326" t="s">
        <v>6400</v>
      </c>
      <c r="M326" t="s">
        <v>6401</v>
      </c>
      <c r="N326" s="146" t="s">
        <v>6402</v>
      </c>
      <c r="O326" s="146" t="s">
        <v>6389</v>
      </c>
    </row>
    <row r="327" spans="1:15">
      <c r="A327" s="146" t="s">
        <v>6403</v>
      </c>
      <c r="B327" s="151" t="s">
        <v>6404</v>
      </c>
      <c r="C327" s="146" t="s">
        <v>6405</v>
      </c>
      <c r="D327" s="146" t="s">
        <v>6406</v>
      </c>
      <c r="E327" s="146" t="s">
        <v>6407</v>
      </c>
      <c r="F327" s="146" t="s">
        <v>6408</v>
      </c>
      <c r="G327" s="146" t="s">
        <v>6409</v>
      </c>
      <c r="H327" s="146" t="s">
        <v>6410</v>
      </c>
      <c r="I327" t="s">
        <v>6411</v>
      </c>
      <c r="J327" s="146" t="s">
        <v>6412</v>
      </c>
      <c r="K327" s="146" t="s">
        <v>6413</v>
      </c>
      <c r="L327" t="s">
        <v>6414</v>
      </c>
      <c r="M327" t="s">
        <v>6415</v>
      </c>
      <c r="N327" s="146" t="s">
        <v>6416</v>
      </c>
      <c r="O327" s="146" t="s">
        <v>6403</v>
      </c>
    </row>
    <row r="328" spans="1:15">
      <c r="A328" s="146" t="s">
        <v>6417</v>
      </c>
      <c r="B328" s="151" t="s">
        <v>6418</v>
      </c>
      <c r="C328" s="146" t="s">
        <v>6419</v>
      </c>
      <c r="D328" s="146" t="s">
        <v>6420</v>
      </c>
      <c r="E328" s="146" t="s">
        <v>6421</v>
      </c>
      <c r="F328" s="146" t="s">
        <v>6422</v>
      </c>
      <c r="G328" s="146" t="s">
        <v>6423</v>
      </c>
      <c r="H328" s="146" t="s">
        <v>6424</v>
      </c>
      <c r="I328" t="s">
        <v>6425</v>
      </c>
      <c r="J328" s="146" t="s">
        <v>6426</v>
      </c>
      <c r="K328" s="146" t="s">
        <v>6427</v>
      </c>
      <c r="L328" t="s">
        <v>6428</v>
      </c>
      <c r="M328" t="s">
        <v>6429</v>
      </c>
      <c r="N328" s="146" t="s">
        <v>6430</v>
      </c>
      <c r="O328" s="146" t="s">
        <v>6417</v>
      </c>
    </row>
    <row r="329" spans="1:15">
      <c r="A329" s="146" t="s">
        <v>6431</v>
      </c>
      <c r="B329" s="151" t="s">
        <v>6432</v>
      </c>
      <c r="C329" s="146" t="s">
        <v>6433</v>
      </c>
      <c r="D329" s="146" t="s">
        <v>6434</v>
      </c>
      <c r="E329" s="146" t="s">
        <v>6435</v>
      </c>
      <c r="F329" s="146" t="s">
        <v>6436</v>
      </c>
      <c r="G329" s="146" t="s">
        <v>6437</v>
      </c>
      <c r="H329" s="146" t="s">
        <v>6438</v>
      </c>
      <c r="I329" t="s">
        <v>6439</v>
      </c>
      <c r="J329" s="146" t="s">
        <v>6440</v>
      </c>
      <c r="K329" s="146" t="s">
        <v>6441</v>
      </c>
      <c r="L329" t="s">
        <v>6442</v>
      </c>
      <c r="M329" t="s">
        <v>6443</v>
      </c>
      <c r="N329" s="146" t="s">
        <v>6444</v>
      </c>
      <c r="O329" s="146" t="s">
        <v>6431</v>
      </c>
    </row>
    <row r="330" spans="1:15">
      <c r="A330" s="146" t="s">
        <v>6445</v>
      </c>
      <c r="B330" s="151" t="s">
        <v>6446</v>
      </c>
      <c r="C330" s="146" t="s">
        <v>6447</v>
      </c>
      <c r="D330" s="146" t="s">
        <v>6448</v>
      </c>
      <c r="E330" s="146" t="s">
        <v>6449</v>
      </c>
      <c r="F330" s="146" t="s">
        <v>6450</v>
      </c>
      <c r="G330" s="146" t="s">
        <v>6451</v>
      </c>
      <c r="H330" s="146" t="s">
        <v>6452</v>
      </c>
      <c r="I330" t="s">
        <v>6453</v>
      </c>
      <c r="J330" s="146" t="s">
        <v>6454</v>
      </c>
      <c r="K330" s="146" t="s">
        <v>6455</v>
      </c>
      <c r="L330" t="s">
        <v>6456</v>
      </c>
      <c r="M330" t="s">
        <v>6457</v>
      </c>
      <c r="N330" s="146" t="s">
        <v>6458</v>
      </c>
      <c r="O330" s="146" t="s">
        <v>6445</v>
      </c>
    </row>
    <row r="331" spans="1:15">
      <c r="A331" s="146" t="s">
        <v>6459</v>
      </c>
      <c r="B331" s="151" t="s">
        <v>6460</v>
      </c>
      <c r="C331" s="146" t="s">
        <v>6461</v>
      </c>
      <c r="D331" s="146" t="s">
        <v>6462</v>
      </c>
      <c r="E331" s="146" t="s">
        <v>6463</v>
      </c>
      <c r="F331" s="146" t="s">
        <v>6464</v>
      </c>
      <c r="G331" s="146" t="s">
        <v>6465</v>
      </c>
      <c r="H331" s="146" t="s">
        <v>6466</v>
      </c>
      <c r="I331" t="s">
        <v>6467</v>
      </c>
      <c r="J331" s="146" t="s">
        <v>6468</v>
      </c>
      <c r="K331" s="146" t="s">
        <v>6469</v>
      </c>
      <c r="L331" t="s">
        <v>6470</v>
      </c>
      <c r="M331" t="s">
        <v>6471</v>
      </c>
      <c r="N331" s="146" t="s">
        <v>6472</v>
      </c>
      <c r="O331" s="146" t="s">
        <v>6459</v>
      </c>
    </row>
    <row r="332" spans="1:15">
      <c r="A332" s="146" t="s">
        <v>6473</v>
      </c>
      <c r="B332" s="151" t="s">
        <v>6474</v>
      </c>
      <c r="C332" s="146" t="s">
        <v>6475</v>
      </c>
      <c r="D332" s="146" t="s">
        <v>6476</v>
      </c>
      <c r="E332" s="146" t="s">
        <v>6477</v>
      </c>
      <c r="F332" s="146" t="s">
        <v>6478</v>
      </c>
      <c r="G332" s="146" t="s">
        <v>6479</v>
      </c>
      <c r="H332" s="146" t="s">
        <v>6480</v>
      </c>
      <c r="I332" t="s">
        <v>6481</v>
      </c>
      <c r="J332" s="146" t="s">
        <v>6482</v>
      </c>
      <c r="K332" s="146" t="s">
        <v>6483</v>
      </c>
      <c r="L332" t="s">
        <v>6484</v>
      </c>
      <c r="M332" t="s">
        <v>6485</v>
      </c>
      <c r="N332" s="146" t="s">
        <v>6486</v>
      </c>
      <c r="O332" s="146" t="s">
        <v>6473</v>
      </c>
    </row>
    <row r="333" spans="1:15">
      <c r="A333" s="146" t="s">
        <v>6487</v>
      </c>
      <c r="B333" s="151" t="s">
        <v>6488</v>
      </c>
      <c r="C333" s="146" t="s">
        <v>6489</v>
      </c>
      <c r="D333" s="146" t="s">
        <v>6490</v>
      </c>
      <c r="E333" s="146" t="s">
        <v>6491</v>
      </c>
      <c r="F333" s="146" t="s">
        <v>6492</v>
      </c>
      <c r="G333" s="146" t="s">
        <v>6493</v>
      </c>
      <c r="H333" s="146" t="s">
        <v>6494</v>
      </c>
      <c r="I333" t="s">
        <v>6495</v>
      </c>
      <c r="J333" s="146" t="s">
        <v>6496</v>
      </c>
      <c r="K333" s="146" t="s">
        <v>6497</v>
      </c>
      <c r="L333" t="s">
        <v>6498</v>
      </c>
      <c r="M333" t="s">
        <v>6499</v>
      </c>
      <c r="N333" s="146" t="s">
        <v>6500</v>
      </c>
      <c r="O333" s="146" t="s">
        <v>6487</v>
      </c>
    </row>
    <row r="334" spans="1:15">
      <c r="A334" s="146" t="s">
        <v>6501</v>
      </c>
      <c r="B334" s="151" t="s">
        <v>6502</v>
      </c>
      <c r="C334" s="146" t="s">
        <v>6503</v>
      </c>
      <c r="D334" s="146" t="s">
        <v>6504</v>
      </c>
      <c r="E334" s="146" t="s">
        <v>6505</v>
      </c>
      <c r="F334" s="146" t="s">
        <v>6506</v>
      </c>
      <c r="G334" s="146" t="s">
        <v>6507</v>
      </c>
      <c r="H334" s="146" t="s">
        <v>6508</v>
      </c>
      <c r="I334" t="s">
        <v>6509</v>
      </c>
      <c r="J334" s="146" t="s">
        <v>6510</v>
      </c>
      <c r="K334" s="146" t="s">
        <v>6511</v>
      </c>
      <c r="L334" t="s">
        <v>6512</v>
      </c>
      <c r="M334" t="s">
        <v>6513</v>
      </c>
      <c r="N334" s="146" t="s">
        <v>6514</v>
      </c>
      <c r="O334" s="146" t="s">
        <v>6501</v>
      </c>
    </row>
    <row r="335" spans="1:15">
      <c r="A335" s="146" t="s">
        <v>6515</v>
      </c>
      <c r="B335" s="151" t="s">
        <v>6516</v>
      </c>
      <c r="C335" s="146" t="s">
        <v>6517</v>
      </c>
      <c r="D335" s="146" t="s">
        <v>6518</v>
      </c>
      <c r="E335" s="146" t="s">
        <v>6519</v>
      </c>
      <c r="F335" s="146" t="s">
        <v>6520</v>
      </c>
      <c r="G335" s="146" t="s">
        <v>6521</v>
      </c>
      <c r="H335" s="146" t="s">
        <v>6522</v>
      </c>
      <c r="I335" t="s">
        <v>6523</v>
      </c>
      <c r="J335" s="146" t="s">
        <v>6524</v>
      </c>
      <c r="K335" s="146" t="s">
        <v>6525</v>
      </c>
      <c r="L335" t="s">
        <v>6526</v>
      </c>
      <c r="M335" t="s">
        <v>6527</v>
      </c>
      <c r="N335" s="146" t="s">
        <v>6528</v>
      </c>
      <c r="O335" s="146" t="s">
        <v>6515</v>
      </c>
    </row>
    <row r="336" spans="1:15">
      <c r="A336" s="146" t="s">
        <v>6529</v>
      </c>
      <c r="B336" s="151" t="s">
        <v>6530</v>
      </c>
      <c r="C336" s="146" t="s">
        <v>6531</v>
      </c>
      <c r="D336" s="146" t="s">
        <v>6532</v>
      </c>
      <c r="E336" s="146" t="s">
        <v>6533</v>
      </c>
      <c r="F336" s="146" t="s">
        <v>6534</v>
      </c>
      <c r="G336" s="146" t="s">
        <v>6535</v>
      </c>
      <c r="H336" s="146" t="s">
        <v>6536</v>
      </c>
      <c r="I336" t="s">
        <v>6537</v>
      </c>
      <c r="J336" s="146" t="s">
        <v>6538</v>
      </c>
      <c r="K336" s="146" t="s">
        <v>6539</v>
      </c>
      <c r="L336" t="s">
        <v>6540</v>
      </c>
      <c r="M336" t="s">
        <v>6541</v>
      </c>
      <c r="N336" s="146" t="s">
        <v>6542</v>
      </c>
      <c r="O336" s="146" t="s">
        <v>6529</v>
      </c>
    </row>
    <row r="337" spans="1:15">
      <c r="A337" s="37" t="s">
        <v>6543</v>
      </c>
      <c r="B337" s="151" t="s">
        <v>6544</v>
      </c>
      <c r="C337" s="146" t="s">
        <v>6545</v>
      </c>
      <c r="D337" s="37" t="s">
        <v>6546</v>
      </c>
      <c r="E337" s="37" t="s">
        <v>6547</v>
      </c>
      <c r="F337" s="37" t="s">
        <v>6548</v>
      </c>
      <c r="G337" s="37" t="s">
        <v>6549</v>
      </c>
      <c r="H337" s="37" t="s">
        <v>6550</v>
      </c>
      <c r="I337" s="1" t="s">
        <v>6551</v>
      </c>
      <c r="J337" s="146" t="s">
        <v>6552</v>
      </c>
      <c r="K337" s="37" t="s">
        <v>6553</v>
      </c>
      <c r="L337" s="1" t="s">
        <v>6554</v>
      </c>
      <c r="M337" s="1" t="s">
        <v>6555</v>
      </c>
      <c r="N337" s="37" t="s">
        <v>6556</v>
      </c>
      <c r="O337" s="37" t="s">
        <v>6543</v>
      </c>
    </row>
    <row r="338" spans="1:15">
      <c r="A338" s="37" t="s">
        <v>6557</v>
      </c>
      <c r="B338" s="151" t="s">
        <v>6558</v>
      </c>
      <c r="C338" s="146" t="s">
        <v>6559</v>
      </c>
      <c r="D338" s="37" t="s">
        <v>6560</v>
      </c>
      <c r="E338" s="37" t="s">
        <v>6561</v>
      </c>
      <c r="F338" s="37" t="s">
        <v>6562</v>
      </c>
      <c r="G338" s="37" t="s">
        <v>6563</v>
      </c>
      <c r="H338" s="37" t="s">
        <v>6564</v>
      </c>
      <c r="I338" s="1" t="s">
        <v>6565</v>
      </c>
      <c r="J338" s="146" t="s">
        <v>6566</v>
      </c>
      <c r="K338" s="37" t="s">
        <v>6567</v>
      </c>
      <c r="L338" s="1" t="s">
        <v>6568</v>
      </c>
      <c r="M338" s="1" t="s">
        <v>6569</v>
      </c>
      <c r="N338" s="37" t="s">
        <v>6570</v>
      </c>
      <c r="O338" s="37" t="s">
        <v>6557</v>
      </c>
    </row>
    <row r="339" spans="1:15">
      <c r="A339" s="37" t="s">
        <v>6571</v>
      </c>
      <c r="B339" s="151" t="s">
        <v>6572</v>
      </c>
      <c r="C339" s="146" t="s">
        <v>6573</v>
      </c>
      <c r="D339" s="37" t="s">
        <v>6574</v>
      </c>
      <c r="E339" s="37" t="s">
        <v>6575</v>
      </c>
      <c r="F339" s="37" t="s">
        <v>6576</v>
      </c>
      <c r="G339" s="37" t="s">
        <v>6577</v>
      </c>
      <c r="H339" s="37" t="s">
        <v>6578</v>
      </c>
      <c r="I339" s="1" t="s">
        <v>6579</v>
      </c>
      <c r="J339" s="146" t="s">
        <v>6580</v>
      </c>
      <c r="K339" s="37" t="s">
        <v>6581</v>
      </c>
      <c r="L339" s="1" t="s">
        <v>6582</v>
      </c>
      <c r="M339" s="1" t="s">
        <v>6583</v>
      </c>
      <c r="N339" s="37" t="s">
        <v>6584</v>
      </c>
      <c r="O339" s="37" t="s">
        <v>6571</v>
      </c>
    </row>
    <row r="340" spans="1:15">
      <c r="A340" s="37" t="s">
        <v>6585</v>
      </c>
      <c r="B340" s="151" t="s">
        <v>6586</v>
      </c>
      <c r="C340" s="146" t="s">
        <v>6587</v>
      </c>
      <c r="D340" s="37" t="s">
        <v>6588</v>
      </c>
      <c r="E340" s="37" t="s">
        <v>6589</v>
      </c>
      <c r="F340" s="37" t="s">
        <v>6590</v>
      </c>
      <c r="G340" s="37" t="s">
        <v>6591</v>
      </c>
      <c r="H340" s="37" t="s">
        <v>6592</v>
      </c>
      <c r="I340" s="1" t="s">
        <v>6593</v>
      </c>
      <c r="J340" s="146" t="s">
        <v>6594</v>
      </c>
      <c r="K340" s="37" t="s">
        <v>6595</v>
      </c>
      <c r="L340" s="1" t="s">
        <v>6596</v>
      </c>
      <c r="M340" s="1" t="s">
        <v>6597</v>
      </c>
      <c r="N340" s="37" t="s">
        <v>6598</v>
      </c>
      <c r="O340" s="37" t="s">
        <v>6585</v>
      </c>
    </row>
    <row r="341" spans="1:15">
      <c r="A341" s="146" t="s">
        <v>6599</v>
      </c>
      <c r="B341" s="151" t="s">
        <v>6600</v>
      </c>
      <c r="C341" s="146" t="s">
        <v>6601</v>
      </c>
      <c r="D341" s="146" t="s">
        <v>6602</v>
      </c>
      <c r="E341" s="146" t="s">
        <v>6603</v>
      </c>
      <c r="F341" s="146" t="s">
        <v>6604</v>
      </c>
      <c r="G341" s="146" t="s">
        <v>6605</v>
      </c>
      <c r="H341" s="146" t="s">
        <v>6606</v>
      </c>
      <c r="I341" t="s">
        <v>6607</v>
      </c>
      <c r="J341" s="146" t="s">
        <v>6608</v>
      </c>
      <c r="K341" s="146" t="s">
        <v>6609</v>
      </c>
      <c r="L341" t="s">
        <v>6610</v>
      </c>
      <c r="M341" t="s">
        <v>6611</v>
      </c>
      <c r="N341" s="146" t="s">
        <v>6612</v>
      </c>
      <c r="O341" s="146" t="s">
        <v>6599</v>
      </c>
    </row>
    <row r="342" spans="1:15">
      <c r="A342" s="146" t="s">
        <v>6613</v>
      </c>
      <c r="B342" s="151" t="s">
        <v>6614</v>
      </c>
      <c r="C342" s="146" t="s">
        <v>6615</v>
      </c>
      <c r="D342" s="146" t="s">
        <v>6616</v>
      </c>
      <c r="E342" s="146" t="s">
        <v>6617</v>
      </c>
      <c r="F342" s="146" t="s">
        <v>6618</v>
      </c>
      <c r="G342" s="146" t="s">
        <v>6619</v>
      </c>
      <c r="H342" s="146" t="s">
        <v>6620</v>
      </c>
      <c r="I342" t="s">
        <v>6621</v>
      </c>
      <c r="J342" s="146" t="s">
        <v>6622</v>
      </c>
      <c r="K342" s="146" t="s">
        <v>6623</v>
      </c>
      <c r="L342" t="s">
        <v>6624</v>
      </c>
      <c r="M342" t="s">
        <v>6625</v>
      </c>
      <c r="N342" s="146" t="s">
        <v>6626</v>
      </c>
      <c r="O342" s="146" t="s">
        <v>6613</v>
      </c>
    </row>
    <row r="343" spans="1:15">
      <c r="A343" s="146" t="s">
        <v>6627</v>
      </c>
      <c r="B343" s="151" t="s">
        <v>6628</v>
      </c>
      <c r="C343" s="146" t="s">
        <v>6629</v>
      </c>
      <c r="D343" s="146" t="s">
        <v>6630</v>
      </c>
      <c r="E343" s="146" t="s">
        <v>6631</v>
      </c>
      <c r="F343" s="146" t="s">
        <v>6632</v>
      </c>
      <c r="G343" s="146" t="s">
        <v>6633</v>
      </c>
      <c r="H343" s="146" t="s">
        <v>6634</v>
      </c>
      <c r="I343" t="s">
        <v>6635</v>
      </c>
      <c r="J343" s="146" t="s">
        <v>6636</v>
      </c>
      <c r="K343" s="146" t="s">
        <v>6637</v>
      </c>
      <c r="L343" t="s">
        <v>6638</v>
      </c>
      <c r="M343" t="s">
        <v>6639</v>
      </c>
      <c r="N343" s="146" t="s">
        <v>6640</v>
      </c>
      <c r="O343" s="146" t="s">
        <v>6627</v>
      </c>
    </row>
    <row r="344" spans="1:15">
      <c r="A344" s="146" t="s">
        <v>2537</v>
      </c>
      <c r="B344" s="151" t="s">
        <v>6641</v>
      </c>
      <c r="C344" s="146" t="s">
        <v>6642</v>
      </c>
      <c r="D344" s="146" t="s">
        <v>6643</v>
      </c>
      <c r="E344" s="146" t="s">
        <v>6644</v>
      </c>
      <c r="F344" s="146" t="s">
        <v>6645</v>
      </c>
      <c r="G344" s="146" t="s">
        <v>6646</v>
      </c>
      <c r="H344" s="146" t="s">
        <v>6647</v>
      </c>
      <c r="I344" t="s">
        <v>6648</v>
      </c>
      <c r="J344" s="146" t="s">
        <v>6649</v>
      </c>
      <c r="K344" s="146" t="s">
        <v>6650</v>
      </c>
      <c r="L344" t="s">
        <v>6651</v>
      </c>
      <c r="M344" t="s">
        <v>6652</v>
      </c>
      <c r="N344" s="146" t="s">
        <v>6653</v>
      </c>
      <c r="O344" s="146" t="s">
        <v>2537</v>
      </c>
    </row>
    <row r="345" spans="1:15">
      <c r="A345" s="146" t="s">
        <v>6654</v>
      </c>
      <c r="B345" s="151" t="s">
        <v>6655</v>
      </c>
      <c r="C345" s="146" t="s">
        <v>6656</v>
      </c>
      <c r="D345" s="146" t="s">
        <v>6657</v>
      </c>
      <c r="E345" s="146" t="s">
        <v>6365</v>
      </c>
      <c r="F345" s="146" t="s">
        <v>6658</v>
      </c>
      <c r="G345" s="146" t="s">
        <v>6659</v>
      </c>
      <c r="H345" s="146" t="s">
        <v>6660</v>
      </c>
      <c r="I345" t="s">
        <v>6661</v>
      </c>
      <c r="J345" s="146" t="s">
        <v>6662</v>
      </c>
      <c r="K345" s="146" t="s">
        <v>6663</v>
      </c>
      <c r="L345" t="s">
        <v>6664</v>
      </c>
      <c r="M345" t="s">
        <v>6665</v>
      </c>
      <c r="N345" s="146" t="s">
        <v>6666</v>
      </c>
      <c r="O345" s="146" t="s">
        <v>6654</v>
      </c>
    </row>
    <row r="346" spans="1:15">
      <c r="A346" s="146" t="s">
        <v>6667</v>
      </c>
      <c r="B346" s="151" t="s">
        <v>6668</v>
      </c>
      <c r="C346" s="146" t="s">
        <v>6669</v>
      </c>
      <c r="D346" s="146" t="s">
        <v>6670</v>
      </c>
      <c r="E346" s="146" t="s">
        <v>6671</v>
      </c>
      <c r="F346" s="146" t="s">
        <v>6672</v>
      </c>
      <c r="G346" s="146" t="s">
        <v>6673</v>
      </c>
      <c r="H346" s="146" t="s">
        <v>6674</v>
      </c>
      <c r="I346" t="s">
        <v>6675</v>
      </c>
      <c r="J346" s="146" t="s">
        <v>6676</v>
      </c>
      <c r="K346" s="146" t="s">
        <v>6677</v>
      </c>
      <c r="L346" t="s">
        <v>6678</v>
      </c>
      <c r="M346" t="s">
        <v>6679</v>
      </c>
      <c r="N346" s="146" t="s">
        <v>6680</v>
      </c>
      <c r="O346" s="146" t="s">
        <v>6667</v>
      </c>
    </row>
    <row r="347" spans="1:15">
      <c r="A347" s="146" t="s">
        <v>6681</v>
      </c>
      <c r="B347" s="151" t="s">
        <v>6682</v>
      </c>
      <c r="C347" s="146" t="s">
        <v>6683</v>
      </c>
      <c r="D347" s="146" t="s">
        <v>6684</v>
      </c>
      <c r="E347" s="146" t="s">
        <v>6685</v>
      </c>
      <c r="F347" s="146" t="s">
        <v>6686</v>
      </c>
      <c r="G347" s="146" t="s">
        <v>6687</v>
      </c>
      <c r="H347" s="146" t="s">
        <v>6688</v>
      </c>
      <c r="I347" t="s">
        <v>6689</v>
      </c>
      <c r="J347" s="146" t="s">
        <v>6690</v>
      </c>
      <c r="K347" s="146" t="s">
        <v>6691</v>
      </c>
      <c r="L347" t="s">
        <v>6692</v>
      </c>
      <c r="M347" t="s">
        <v>6693</v>
      </c>
      <c r="N347" s="146" t="s">
        <v>6694</v>
      </c>
      <c r="O347" s="146" t="s">
        <v>6681</v>
      </c>
    </row>
    <row r="348" spans="1:15">
      <c r="A348" s="146" t="s">
        <v>6695</v>
      </c>
      <c r="B348" s="151" t="s">
        <v>6696</v>
      </c>
      <c r="C348" s="146" t="s">
        <v>6697</v>
      </c>
      <c r="D348" s="146" t="s">
        <v>6698</v>
      </c>
      <c r="E348" s="146" t="s">
        <v>6699</v>
      </c>
      <c r="F348" s="146" t="s">
        <v>6700</v>
      </c>
      <c r="G348" s="146" t="s">
        <v>6701</v>
      </c>
      <c r="H348" s="146" t="s">
        <v>6702</v>
      </c>
      <c r="I348" t="s">
        <v>6703</v>
      </c>
      <c r="J348" s="146" t="s">
        <v>6704</v>
      </c>
      <c r="K348" s="146" t="s">
        <v>6705</v>
      </c>
      <c r="L348" t="s">
        <v>6706</v>
      </c>
      <c r="M348" t="s">
        <v>6707</v>
      </c>
      <c r="N348" s="146" t="s">
        <v>6708</v>
      </c>
      <c r="O348" s="146" t="s">
        <v>6695</v>
      </c>
    </row>
    <row r="349" spans="1:15">
      <c r="A349" s="146" t="s">
        <v>6709</v>
      </c>
      <c r="B349" s="151" t="s">
        <v>6710</v>
      </c>
      <c r="C349" s="146" t="s">
        <v>6711</v>
      </c>
      <c r="D349" s="146" t="s">
        <v>6712</v>
      </c>
      <c r="E349" s="146" t="s">
        <v>6713</v>
      </c>
      <c r="F349" s="146" t="s">
        <v>6170</v>
      </c>
      <c r="G349" s="146" t="s">
        <v>6714</v>
      </c>
      <c r="H349" s="146" t="s">
        <v>6715</v>
      </c>
      <c r="I349" t="s">
        <v>6716</v>
      </c>
      <c r="J349" s="146" t="s">
        <v>6717</v>
      </c>
      <c r="K349" s="176" t="s">
        <v>6718</v>
      </c>
      <c r="L349" t="s">
        <v>6719</v>
      </c>
      <c r="M349" t="s">
        <v>6720</v>
      </c>
      <c r="N349" s="146" t="s">
        <v>6721</v>
      </c>
      <c r="O349" s="146" t="s">
        <v>6709</v>
      </c>
    </row>
    <row r="350" spans="1:15">
      <c r="A350" s="146" t="s">
        <v>6722</v>
      </c>
      <c r="B350" s="151" t="s">
        <v>6723</v>
      </c>
      <c r="C350" s="146" t="s">
        <v>6724</v>
      </c>
      <c r="D350" s="146" t="s">
        <v>6725</v>
      </c>
      <c r="E350" s="146" t="s">
        <v>6726</v>
      </c>
      <c r="F350" s="146" t="s">
        <v>6727</v>
      </c>
      <c r="G350" s="146" t="s">
        <v>6728</v>
      </c>
      <c r="H350" s="146" t="s">
        <v>6729</v>
      </c>
      <c r="I350" t="s">
        <v>6730</v>
      </c>
      <c r="J350" s="146" t="s">
        <v>6731</v>
      </c>
      <c r="K350" s="146" t="s">
        <v>6732</v>
      </c>
      <c r="L350" t="s">
        <v>6733</v>
      </c>
      <c r="M350" t="s">
        <v>6734</v>
      </c>
      <c r="N350" s="146" t="s">
        <v>6735</v>
      </c>
      <c r="O350" s="146" t="s">
        <v>6722</v>
      </c>
    </row>
    <row r="351" spans="1:15">
      <c r="A351" s="146" t="s">
        <v>6736</v>
      </c>
      <c r="B351" s="151" t="s">
        <v>6737</v>
      </c>
      <c r="C351" s="146" t="s">
        <v>6738</v>
      </c>
      <c r="D351" s="146" t="s">
        <v>6739</v>
      </c>
      <c r="E351" s="146" t="s">
        <v>6740</v>
      </c>
      <c r="F351" s="146" t="s">
        <v>6741</v>
      </c>
      <c r="G351" s="146" t="s">
        <v>6742</v>
      </c>
      <c r="H351" s="146" t="s">
        <v>6743</v>
      </c>
      <c r="I351" t="s">
        <v>6744</v>
      </c>
      <c r="J351" s="146" t="s">
        <v>6745</v>
      </c>
      <c r="K351" s="146" t="s">
        <v>6746</v>
      </c>
      <c r="L351" t="s">
        <v>6747</v>
      </c>
      <c r="M351" t="s">
        <v>6748</v>
      </c>
      <c r="N351" s="146" t="s">
        <v>6749</v>
      </c>
      <c r="O351" s="146" t="s">
        <v>6736</v>
      </c>
    </row>
    <row r="352" spans="1:15">
      <c r="A352" s="146" t="s">
        <v>6750</v>
      </c>
      <c r="B352" s="151" t="s">
        <v>6751</v>
      </c>
      <c r="C352" s="146" t="s">
        <v>6752</v>
      </c>
      <c r="D352" s="146" t="s">
        <v>6753</v>
      </c>
      <c r="E352" s="146" t="s">
        <v>6754</v>
      </c>
      <c r="F352" s="146" t="s">
        <v>6755</v>
      </c>
      <c r="G352" s="146" t="s">
        <v>6756</v>
      </c>
      <c r="H352" s="146" t="s">
        <v>6757</v>
      </c>
      <c r="I352" t="s">
        <v>6758</v>
      </c>
      <c r="J352" s="146" t="s">
        <v>3481</v>
      </c>
      <c r="K352" s="146" t="s">
        <v>6759</v>
      </c>
      <c r="L352" t="s">
        <v>6760</v>
      </c>
      <c r="M352" t="s">
        <v>6761</v>
      </c>
      <c r="N352" s="146" t="s">
        <v>6762</v>
      </c>
      <c r="O352" s="146" t="s">
        <v>6750</v>
      </c>
    </row>
    <row r="353" spans="1:15">
      <c r="A353" s="146" t="s">
        <v>6763</v>
      </c>
      <c r="B353" s="151" t="s">
        <v>6764</v>
      </c>
      <c r="C353" s="146" t="s">
        <v>6765</v>
      </c>
      <c r="D353" s="146" t="s">
        <v>6766</v>
      </c>
      <c r="E353" s="146" t="s">
        <v>6767</v>
      </c>
      <c r="F353" s="146" t="s">
        <v>6768</v>
      </c>
      <c r="G353" s="146" t="s">
        <v>6769</v>
      </c>
      <c r="H353" s="146" t="s">
        <v>6770</v>
      </c>
      <c r="I353" t="s">
        <v>6771</v>
      </c>
      <c r="J353" s="146" t="s">
        <v>6772</v>
      </c>
      <c r="K353" s="146" t="s">
        <v>6773</v>
      </c>
      <c r="L353" t="s">
        <v>6774</v>
      </c>
      <c r="M353" t="s">
        <v>6775</v>
      </c>
      <c r="N353" s="146" t="s">
        <v>6776</v>
      </c>
      <c r="O353" s="146" t="s">
        <v>6763</v>
      </c>
    </row>
    <row r="354" spans="1:15">
      <c r="A354" s="146" t="s">
        <v>6777</v>
      </c>
      <c r="B354" s="151" t="s">
        <v>6778</v>
      </c>
      <c r="C354" s="146" t="s">
        <v>6779</v>
      </c>
      <c r="D354" s="146" t="s">
        <v>6780</v>
      </c>
      <c r="E354" s="146" t="s">
        <v>6781</v>
      </c>
      <c r="F354" s="146" t="s">
        <v>6782</v>
      </c>
      <c r="G354" s="146" t="s">
        <v>6783</v>
      </c>
      <c r="H354" s="146" t="s">
        <v>6784</v>
      </c>
      <c r="I354" t="s">
        <v>6785</v>
      </c>
      <c r="J354" s="146" t="s">
        <v>6786</v>
      </c>
      <c r="K354" s="146" t="s">
        <v>6787</v>
      </c>
      <c r="L354" t="s">
        <v>6788</v>
      </c>
      <c r="M354" t="s">
        <v>6789</v>
      </c>
      <c r="N354" s="146" t="s">
        <v>6790</v>
      </c>
      <c r="O354" s="146" t="s">
        <v>6777</v>
      </c>
    </row>
    <row r="355" spans="1:15">
      <c r="A355" s="146" t="s">
        <v>6791</v>
      </c>
      <c r="B355" s="151" t="s">
        <v>6792</v>
      </c>
      <c r="C355" s="146" t="s">
        <v>6792</v>
      </c>
      <c r="D355" s="146" t="s">
        <v>6791</v>
      </c>
      <c r="E355" s="146" t="s">
        <v>6791</v>
      </c>
      <c r="F355" s="146" t="s">
        <v>6791</v>
      </c>
      <c r="G355" s="146" t="s">
        <v>6791</v>
      </c>
      <c r="H355" s="146" t="s">
        <v>6791</v>
      </c>
      <c r="I355" t="s">
        <v>6793</v>
      </c>
      <c r="J355" s="146" t="s">
        <v>6794</v>
      </c>
      <c r="K355" s="146" t="s">
        <v>6793</v>
      </c>
      <c r="L355" t="s">
        <v>6793</v>
      </c>
      <c r="M355" t="s">
        <v>6793</v>
      </c>
      <c r="N355" s="146" t="s">
        <v>6791</v>
      </c>
      <c r="O355" s="146" t="s">
        <v>6791</v>
      </c>
    </row>
    <row r="356" spans="1:15">
      <c r="A356" s="146" t="s">
        <v>6795</v>
      </c>
      <c r="B356" s="151" t="s">
        <v>6796</v>
      </c>
      <c r="C356" s="146" t="s">
        <v>6797</v>
      </c>
      <c r="D356" s="146" t="s">
        <v>6798</v>
      </c>
      <c r="E356" s="146" t="s">
        <v>6799</v>
      </c>
      <c r="F356" s="146" t="s">
        <v>6800</v>
      </c>
      <c r="G356" s="146" t="s">
        <v>6801</v>
      </c>
      <c r="H356" s="146" t="s">
        <v>6802</v>
      </c>
      <c r="I356" t="s">
        <v>6803</v>
      </c>
      <c r="J356" s="146" t="s">
        <v>6804</v>
      </c>
      <c r="K356" s="146" t="s">
        <v>6805</v>
      </c>
      <c r="L356" t="s">
        <v>6806</v>
      </c>
      <c r="M356" t="s">
        <v>6807</v>
      </c>
      <c r="N356" s="146" t="s">
        <v>6808</v>
      </c>
      <c r="O356" s="146" t="s">
        <v>6795</v>
      </c>
    </row>
    <row r="357" spans="1:15">
      <c r="A357" s="146" t="s">
        <v>6809</v>
      </c>
      <c r="B357" s="151" t="s">
        <v>6810</v>
      </c>
      <c r="C357" s="146" t="s">
        <v>6811</v>
      </c>
      <c r="D357" s="146" t="s">
        <v>6812</v>
      </c>
      <c r="E357" s="146" t="s">
        <v>6813</v>
      </c>
      <c r="F357" s="146" t="s">
        <v>6814</v>
      </c>
      <c r="G357" s="146" t="s">
        <v>6815</v>
      </c>
      <c r="H357" s="146" t="s">
        <v>6816</v>
      </c>
      <c r="I357" t="s">
        <v>6817</v>
      </c>
      <c r="J357" s="146" t="s">
        <v>6818</v>
      </c>
      <c r="K357" s="146" t="s">
        <v>6819</v>
      </c>
      <c r="L357" t="s">
        <v>6820</v>
      </c>
      <c r="M357" t="s">
        <v>6821</v>
      </c>
      <c r="N357" s="146" t="s">
        <v>6822</v>
      </c>
      <c r="O357" s="146" t="s">
        <v>6809</v>
      </c>
    </row>
    <row r="358" spans="1:15">
      <c r="A358" s="146" t="s">
        <v>6823</v>
      </c>
      <c r="B358" s="151" t="s">
        <v>6824</v>
      </c>
      <c r="C358" s="146" t="s">
        <v>6825</v>
      </c>
      <c r="D358" s="146" t="s">
        <v>6826</v>
      </c>
      <c r="E358" s="146" t="s">
        <v>6827</v>
      </c>
      <c r="F358" s="146" t="s">
        <v>6828</v>
      </c>
      <c r="G358" s="146" t="s">
        <v>6829</v>
      </c>
      <c r="H358" s="146" t="s">
        <v>6830</v>
      </c>
      <c r="I358" t="s">
        <v>6831</v>
      </c>
      <c r="J358" s="146" t="s">
        <v>6832</v>
      </c>
      <c r="K358" s="146" t="s">
        <v>6833</v>
      </c>
      <c r="L358" t="s">
        <v>6834</v>
      </c>
      <c r="M358" t="s">
        <v>6835</v>
      </c>
      <c r="N358" s="146" t="s">
        <v>6836</v>
      </c>
      <c r="O358" s="146" t="s">
        <v>6823</v>
      </c>
    </row>
    <row r="359" spans="1:15">
      <c r="A359" s="146" t="s">
        <v>6837</v>
      </c>
      <c r="B359" s="151" t="s">
        <v>6838</v>
      </c>
      <c r="C359" s="146" t="s">
        <v>6839</v>
      </c>
      <c r="D359" s="146" t="s">
        <v>6840</v>
      </c>
      <c r="E359" s="146" t="s">
        <v>6841</v>
      </c>
      <c r="F359" s="146" t="s">
        <v>6842</v>
      </c>
      <c r="G359" s="146" t="s">
        <v>6843</v>
      </c>
      <c r="H359" s="146" t="s">
        <v>6844</v>
      </c>
      <c r="I359" t="s">
        <v>6845</v>
      </c>
      <c r="J359" s="146" t="s">
        <v>6846</v>
      </c>
      <c r="K359" s="146" t="s">
        <v>6847</v>
      </c>
      <c r="L359" t="s">
        <v>6848</v>
      </c>
      <c r="M359" t="s">
        <v>6849</v>
      </c>
      <c r="N359" s="146" t="s">
        <v>6850</v>
      </c>
      <c r="O359" s="146" t="s">
        <v>6837</v>
      </c>
    </row>
    <row r="360" spans="1:15">
      <c r="A360" s="146" t="s">
        <v>84</v>
      </c>
      <c r="B360" s="151" t="s">
        <v>6851</v>
      </c>
      <c r="C360" s="146" t="s">
        <v>6852</v>
      </c>
      <c r="D360" s="146" t="s">
        <v>6853</v>
      </c>
      <c r="E360" s="146" t="s">
        <v>6854</v>
      </c>
      <c r="F360" s="146" t="s">
        <v>6855</v>
      </c>
      <c r="G360" s="146" t="s">
        <v>6856</v>
      </c>
      <c r="H360" s="146" t="s">
        <v>6857</v>
      </c>
      <c r="I360" t="s">
        <v>6858</v>
      </c>
      <c r="J360" s="146" t="s">
        <v>6859</v>
      </c>
      <c r="K360" s="146" t="s">
        <v>6860</v>
      </c>
      <c r="L360" t="s">
        <v>6861</v>
      </c>
      <c r="M360" t="s">
        <v>6862</v>
      </c>
      <c r="N360" s="146" t="s">
        <v>6863</v>
      </c>
      <c r="O360" s="146" t="s">
        <v>84</v>
      </c>
    </row>
    <row r="361" spans="1:15">
      <c r="A361" s="146" t="s">
        <v>6864</v>
      </c>
      <c r="B361" s="151" t="s">
        <v>6865</v>
      </c>
      <c r="C361" s="146" t="s">
        <v>6866</v>
      </c>
      <c r="D361" s="146" t="s">
        <v>6867</v>
      </c>
      <c r="E361" s="146" t="s">
        <v>6868</v>
      </c>
      <c r="F361" s="146" t="s">
        <v>6869</v>
      </c>
      <c r="G361" s="146" t="s">
        <v>6870</v>
      </c>
      <c r="H361" s="146" t="s">
        <v>6871</v>
      </c>
      <c r="I361" t="s">
        <v>6872</v>
      </c>
      <c r="J361" s="146" t="s">
        <v>6873</v>
      </c>
      <c r="K361" s="146" t="s">
        <v>6874</v>
      </c>
      <c r="L361" t="s">
        <v>6875</v>
      </c>
      <c r="M361" t="s">
        <v>6876</v>
      </c>
      <c r="N361" s="146" t="s">
        <v>6877</v>
      </c>
      <c r="O361" s="146" t="s">
        <v>6864</v>
      </c>
    </row>
    <row r="362" spans="1:15">
      <c r="A362" s="146" t="s">
        <v>6878</v>
      </c>
      <c r="B362" s="151" t="s">
        <v>6879</v>
      </c>
      <c r="C362" s="146" t="s">
        <v>6880</v>
      </c>
      <c r="D362" s="146" t="s">
        <v>6881</v>
      </c>
      <c r="E362" s="146" t="s">
        <v>6033</v>
      </c>
      <c r="F362" s="146" t="s">
        <v>6882</v>
      </c>
      <c r="G362" s="146" t="s">
        <v>6883</v>
      </c>
      <c r="H362" s="146" t="s">
        <v>6884</v>
      </c>
      <c r="I362" t="s">
        <v>6885</v>
      </c>
      <c r="J362" s="146" t="s">
        <v>6038</v>
      </c>
      <c r="K362" s="146" t="s">
        <v>6886</v>
      </c>
      <c r="L362" t="s">
        <v>6887</v>
      </c>
      <c r="M362" t="s">
        <v>6888</v>
      </c>
      <c r="N362" s="146" t="s">
        <v>6889</v>
      </c>
      <c r="O362" s="146" t="s">
        <v>6878</v>
      </c>
    </row>
    <row r="363" spans="1:15">
      <c r="A363" s="146" t="s">
        <v>6890</v>
      </c>
      <c r="B363" s="151" t="s">
        <v>6891</v>
      </c>
      <c r="C363" s="146" t="s">
        <v>6892</v>
      </c>
      <c r="D363" s="146" t="s">
        <v>6893</v>
      </c>
      <c r="E363" s="146" t="s">
        <v>6894</v>
      </c>
      <c r="F363" s="146" t="s">
        <v>6895</v>
      </c>
      <c r="G363" s="146" t="s">
        <v>6896</v>
      </c>
      <c r="H363" s="146" t="s">
        <v>6897</v>
      </c>
      <c r="I363" t="s">
        <v>6898</v>
      </c>
      <c r="J363" s="146" t="s">
        <v>6899</v>
      </c>
      <c r="K363" s="146" t="s">
        <v>6900</v>
      </c>
      <c r="L363" t="s">
        <v>6901</v>
      </c>
      <c r="M363" t="s">
        <v>6902</v>
      </c>
      <c r="N363" s="146" t="s">
        <v>6903</v>
      </c>
      <c r="O363" s="146" t="s">
        <v>6890</v>
      </c>
    </row>
    <row r="364" spans="1:15">
      <c r="A364" s="146" t="s">
        <v>6904</v>
      </c>
      <c r="B364" s="151" t="s">
        <v>6905</v>
      </c>
      <c r="C364" s="146" t="s">
        <v>6906</v>
      </c>
      <c r="D364" s="146" t="s">
        <v>6907</v>
      </c>
      <c r="E364" s="146" t="s">
        <v>6908</v>
      </c>
      <c r="F364" s="146" t="s">
        <v>6909</v>
      </c>
      <c r="G364" s="146" t="s">
        <v>6910</v>
      </c>
      <c r="H364" s="146" t="s">
        <v>6911</v>
      </c>
      <c r="I364" t="s">
        <v>6912</v>
      </c>
      <c r="J364" s="146" t="s">
        <v>6913</v>
      </c>
      <c r="K364" s="146" t="s">
        <v>6914</v>
      </c>
      <c r="L364" t="s">
        <v>6915</v>
      </c>
      <c r="M364" t="s">
        <v>6916</v>
      </c>
      <c r="N364" s="146" t="s">
        <v>6917</v>
      </c>
      <c r="O364" s="146" t="s">
        <v>6904</v>
      </c>
    </row>
    <row r="365" spans="1:15">
      <c r="A365" s="146" t="s">
        <v>6918</v>
      </c>
      <c r="B365" s="151" t="s">
        <v>6919</v>
      </c>
      <c r="C365" s="146" t="s">
        <v>6920</v>
      </c>
      <c r="D365" s="146" t="s">
        <v>6921</v>
      </c>
      <c r="E365" s="146" t="s">
        <v>6922</v>
      </c>
      <c r="F365" s="146" t="s">
        <v>6923</v>
      </c>
      <c r="G365" s="146" t="s">
        <v>6924</v>
      </c>
      <c r="H365" s="146" t="s">
        <v>6925</v>
      </c>
      <c r="I365" t="s">
        <v>6926</v>
      </c>
      <c r="J365" s="146" t="s">
        <v>6927</v>
      </c>
      <c r="K365" s="146" t="s">
        <v>6928</v>
      </c>
      <c r="L365" t="s">
        <v>6929</v>
      </c>
      <c r="M365" t="s">
        <v>6930</v>
      </c>
      <c r="N365" s="146" t="s">
        <v>6931</v>
      </c>
      <c r="O365" s="146" t="s">
        <v>6918</v>
      </c>
    </row>
    <row r="366" spans="1:15">
      <c r="A366" s="146" t="s">
        <v>76</v>
      </c>
      <c r="B366" s="151" t="s">
        <v>6932</v>
      </c>
      <c r="C366" s="146" t="s">
        <v>6933</v>
      </c>
      <c r="D366" s="146" t="s">
        <v>6934</v>
      </c>
      <c r="E366" s="146" t="s">
        <v>6935</v>
      </c>
      <c r="F366" s="146" t="s">
        <v>6936</v>
      </c>
      <c r="G366" s="146" t="s">
        <v>6937</v>
      </c>
      <c r="H366" s="146" t="s">
        <v>6938</v>
      </c>
      <c r="I366" t="s">
        <v>6939</v>
      </c>
      <c r="J366" s="146" t="s">
        <v>6940</v>
      </c>
      <c r="K366" s="146" t="s">
        <v>6941</v>
      </c>
      <c r="L366" t="s">
        <v>6942</v>
      </c>
      <c r="M366" t="s">
        <v>6941</v>
      </c>
      <c r="N366" s="146" t="s">
        <v>6943</v>
      </c>
      <c r="O366" s="146" t="s">
        <v>76</v>
      </c>
    </row>
    <row r="367" spans="1:15">
      <c r="A367" s="146" t="s">
        <v>85</v>
      </c>
      <c r="B367" s="151" t="s">
        <v>4478</v>
      </c>
      <c r="C367" s="146" t="s">
        <v>4479</v>
      </c>
      <c r="D367" s="146" t="s">
        <v>4480</v>
      </c>
      <c r="E367" s="146" t="s">
        <v>4481</v>
      </c>
      <c r="F367" s="146" t="s">
        <v>4482</v>
      </c>
      <c r="G367" s="148" t="s">
        <v>4483</v>
      </c>
      <c r="H367" s="146" t="s">
        <v>4484</v>
      </c>
      <c r="I367" t="s">
        <v>4485</v>
      </c>
      <c r="J367" s="146" t="s">
        <v>4486</v>
      </c>
      <c r="K367" s="146" t="s">
        <v>4487</v>
      </c>
      <c r="L367" t="s">
        <v>4488</v>
      </c>
      <c r="M367" t="s">
        <v>4489</v>
      </c>
      <c r="N367" s="146" t="s">
        <v>4490</v>
      </c>
      <c r="O367" s="146" t="s">
        <v>85</v>
      </c>
    </row>
    <row r="368" spans="1:15">
      <c r="A368" s="146" t="s">
        <v>6944</v>
      </c>
      <c r="B368" s="151" t="s">
        <v>6945</v>
      </c>
      <c r="C368" s="146" t="s">
        <v>6946</v>
      </c>
      <c r="D368" s="146" t="s">
        <v>6947</v>
      </c>
      <c r="E368" s="146" t="s">
        <v>6948</v>
      </c>
      <c r="F368" s="146" t="s">
        <v>6949</v>
      </c>
      <c r="G368" s="146" t="s">
        <v>6950</v>
      </c>
      <c r="H368" s="146" t="s">
        <v>6951</v>
      </c>
      <c r="I368" t="s">
        <v>6952</v>
      </c>
      <c r="J368" s="146" t="s">
        <v>6953</v>
      </c>
      <c r="K368" s="146" t="s">
        <v>6954</v>
      </c>
      <c r="L368" t="s">
        <v>6955</v>
      </c>
      <c r="M368" t="s">
        <v>6956</v>
      </c>
      <c r="N368" s="146" t="s">
        <v>6957</v>
      </c>
      <c r="O368" s="146" t="s">
        <v>6944</v>
      </c>
    </row>
    <row r="369" spans="1:15">
      <c r="A369" s="146" t="s">
        <v>77</v>
      </c>
      <c r="B369" s="151" t="s">
        <v>6958</v>
      </c>
      <c r="C369" s="146" t="s">
        <v>6959</v>
      </c>
      <c r="D369" s="146" t="s">
        <v>6960</v>
      </c>
      <c r="E369" s="146" t="s">
        <v>6961</v>
      </c>
      <c r="F369" s="146" t="s">
        <v>6962</v>
      </c>
      <c r="G369" s="146" t="s">
        <v>6963</v>
      </c>
      <c r="H369" s="146" t="s">
        <v>6964</v>
      </c>
      <c r="I369" t="s">
        <v>6965</v>
      </c>
      <c r="J369" s="146" t="s">
        <v>6966</v>
      </c>
      <c r="K369" s="146" t="s">
        <v>6967</v>
      </c>
      <c r="L369" t="s">
        <v>6968</v>
      </c>
      <c r="M369" t="s">
        <v>6969</v>
      </c>
      <c r="N369" s="146" t="s">
        <v>6970</v>
      </c>
      <c r="O369" s="146" t="s">
        <v>77</v>
      </c>
    </row>
    <row r="370" spans="1:15">
      <c r="A370" s="146" t="s">
        <v>83</v>
      </c>
      <c r="B370" s="151" t="s">
        <v>6971</v>
      </c>
      <c r="C370" s="146" t="s">
        <v>6972</v>
      </c>
      <c r="D370" s="146" t="s">
        <v>6973</v>
      </c>
      <c r="E370" s="146" t="s">
        <v>6974</v>
      </c>
      <c r="F370" s="146" t="s">
        <v>6975</v>
      </c>
      <c r="G370" s="146" t="s">
        <v>6976</v>
      </c>
      <c r="H370" s="146" t="s">
        <v>6977</v>
      </c>
      <c r="I370" t="s">
        <v>6978</v>
      </c>
      <c r="J370" s="146" t="s">
        <v>6979</v>
      </c>
      <c r="K370" s="146" t="s">
        <v>6980</v>
      </c>
      <c r="L370" t="s">
        <v>6980</v>
      </c>
      <c r="M370" t="s">
        <v>6981</v>
      </c>
      <c r="N370" s="146" t="s">
        <v>6982</v>
      </c>
      <c r="O370" s="146" t="s">
        <v>83</v>
      </c>
    </row>
    <row r="371" spans="1:15">
      <c r="A371" s="146" t="s">
        <v>6983</v>
      </c>
      <c r="B371" s="151" t="s">
        <v>6984</v>
      </c>
      <c r="C371" s="146" t="s">
        <v>6985</v>
      </c>
      <c r="D371" s="146" t="s">
        <v>6986</v>
      </c>
      <c r="E371" s="146" t="s">
        <v>6987</v>
      </c>
      <c r="F371" s="146" t="s">
        <v>6988</v>
      </c>
      <c r="G371" s="146" t="s">
        <v>6989</v>
      </c>
      <c r="H371" s="146" t="s">
        <v>6990</v>
      </c>
      <c r="I371" t="s">
        <v>6991</v>
      </c>
      <c r="J371" s="146" t="s">
        <v>6992</v>
      </c>
      <c r="K371" s="146" t="s">
        <v>6993</v>
      </c>
      <c r="L371" t="s">
        <v>6993</v>
      </c>
      <c r="M371" t="s">
        <v>6994</v>
      </c>
      <c r="N371" s="146" t="s">
        <v>6995</v>
      </c>
      <c r="O371" s="146" t="s">
        <v>6983</v>
      </c>
    </row>
    <row r="372" spans="1:15">
      <c r="A372" s="146" t="s">
        <v>6996</v>
      </c>
      <c r="B372" s="151" t="s">
        <v>6997</v>
      </c>
      <c r="C372" s="146" t="s">
        <v>6998</v>
      </c>
      <c r="D372" s="146" t="s">
        <v>6999</v>
      </c>
      <c r="E372" s="146" t="s">
        <v>7000</v>
      </c>
      <c r="F372" s="146" t="s">
        <v>7001</v>
      </c>
      <c r="G372" s="146" t="s">
        <v>7002</v>
      </c>
      <c r="H372" s="146" t="s">
        <v>7003</v>
      </c>
      <c r="I372" t="s">
        <v>7004</v>
      </c>
      <c r="J372" s="146" t="s">
        <v>7005</v>
      </c>
      <c r="K372" s="146" t="s">
        <v>7006</v>
      </c>
      <c r="L372" t="s">
        <v>7007</v>
      </c>
      <c r="M372" t="s">
        <v>7008</v>
      </c>
      <c r="N372" s="146" t="s">
        <v>7009</v>
      </c>
      <c r="O372" s="146" t="s">
        <v>6996</v>
      </c>
    </row>
    <row r="373" spans="1:15">
      <c r="A373" s="146" t="s">
        <v>7010</v>
      </c>
      <c r="B373" s="151" t="s">
        <v>7011</v>
      </c>
      <c r="C373" s="146" t="s">
        <v>7012</v>
      </c>
      <c r="D373" s="146" t="s">
        <v>7013</v>
      </c>
      <c r="E373" s="146" t="s">
        <v>7014</v>
      </c>
      <c r="F373" s="146" t="s">
        <v>7015</v>
      </c>
      <c r="G373" s="146" t="s">
        <v>7016</v>
      </c>
      <c r="H373" s="146" t="s">
        <v>7017</v>
      </c>
      <c r="I373" t="s">
        <v>7018</v>
      </c>
      <c r="J373" s="146" t="s">
        <v>7019</v>
      </c>
      <c r="K373" s="146" t="s">
        <v>7020</v>
      </c>
      <c r="L373" t="s">
        <v>7021</v>
      </c>
      <c r="M373" t="s">
        <v>7022</v>
      </c>
      <c r="N373" s="146" t="s">
        <v>7023</v>
      </c>
      <c r="O373" s="146" t="s">
        <v>7010</v>
      </c>
    </row>
    <row r="374" spans="1:15">
      <c r="A374" s="146" t="s">
        <v>7024</v>
      </c>
      <c r="B374" s="151" t="s">
        <v>7025</v>
      </c>
      <c r="C374" s="146" t="s">
        <v>7026</v>
      </c>
      <c r="D374" s="146" t="s">
        <v>7027</v>
      </c>
      <c r="E374" s="146" t="s">
        <v>7028</v>
      </c>
      <c r="F374" s="146" t="s">
        <v>7029</v>
      </c>
      <c r="G374" s="146" t="s">
        <v>7030</v>
      </c>
      <c r="H374" s="146" t="s">
        <v>7031</v>
      </c>
      <c r="I374" t="s">
        <v>7032</v>
      </c>
      <c r="J374" s="146" t="s">
        <v>7033</v>
      </c>
      <c r="K374" s="146" t="s">
        <v>7034</v>
      </c>
      <c r="L374" t="s">
        <v>7035</v>
      </c>
      <c r="M374" t="s">
        <v>7036</v>
      </c>
      <c r="N374" s="146" t="s">
        <v>7037</v>
      </c>
      <c r="O374" s="146" t="s">
        <v>7024</v>
      </c>
    </row>
    <row r="375" spans="1:15">
      <c r="A375" s="146" t="s">
        <v>7038</v>
      </c>
      <c r="B375" s="151" t="s">
        <v>7039</v>
      </c>
      <c r="C375" s="146" t="s">
        <v>7040</v>
      </c>
      <c r="D375" s="146" t="s">
        <v>7041</v>
      </c>
      <c r="E375" s="146" t="s">
        <v>7042</v>
      </c>
      <c r="F375" s="146" t="s">
        <v>7043</v>
      </c>
      <c r="G375" s="146" t="s">
        <v>7044</v>
      </c>
      <c r="H375" s="146" t="s">
        <v>7045</v>
      </c>
      <c r="I375" t="s">
        <v>7046</v>
      </c>
      <c r="J375" s="146" t="s">
        <v>7047</v>
      </c>
      <c r="K375" s="146" t="s">
        <v>7048</v>
      </c>
      <c r="L375" t="s">
        <v>7049</v>
      </c>
      <c r="M375" t="s">
        <v>7050</v>
      </c>
      <c r="N375" s="146" t="s">
        <v>7051</v>
      </c>
      <c r="O375" s="146" t="s">
        <v>7038</v>
      </c>
    </row>
    <row r="376" spans="1:15">
      <c r="A376" s="146" t="s">
        <v>86</v>
      </c>
      <c r="B376" s="146" t="s">
        <v>86</v>
      </c>
      <c r="C376" s="146" t="s">
        <v>86</v>
      </c>
      <c r="D376" s="146" t="s">
        <v>7052</v>
      </c>
      <c r="E376" s="146" t="s">
        <v>7053</v>
      </c>
      <c r="F376" s="146" t="s">
        <v>7054</v>
      </c>
      <c r="G376" s="146" t="s">
        <v>7053</v>
      </c>
      <c r="H376" s="146" t="s">
        <v>7055</v>
      </c>
      <c r="I376" t="s">
        <v>7056</v>
      </c>
      <c r="J376" s="146" t="s">
        <v>7057</v>
      </c>
      <c r="K376" s="146" t="s">
        <v>7056</v>
      </c>
      <c r="L376" t="s">
        <v>7058</v>
      </c>
      <c r="M376" t="s">
        <v>7059</v>
      </c>
      <c r="N376" s="146" t="s">
        <v>7060</v>
      </c>
      <c r="O376" s="146" t="s">
        <v>86</v>
      </c>
    </row>
    <row r="377" spans="1:15">
      <c r="A377" s="146" t="s">
        <v>87</v>
      </c>
      <c r="B377" s="146" t="s">
        <v>7061</v>
      </c>
      <c r="C377" s="146" t="s">
        <v>7062</v>
      </c>
      <c r="D377" s="146" t="s">
        <v>7063</v>
      </c>
      <c r="E377" s="146" t="s">
        <v>7064</v>
      </c>
      <c r="F377" s="146" t="s">
        <v>7065</v>
      </c>
      <c r="G377" s="146" t="s">
        <v>7066</v>
      </c>
      <c r="H377" s="146" t="s">
        <v>7064</v>
      </c>
      <c r="I377" t="s">
        <v>7067</v>
      </c>
      <c r="J377" s="146" t="s">
        <v>7068</v>
      </c>
      <c r="K377" s="146" t="s">
        <v>7069</v>
      </c>
      <c r="L377" t="s">
        <v>7070</v>
      </c>
      <c r="M377" t="s">
        <v>7071</v>
      </c>
      <c r="N377" s="146" t="s">
        <v>7072</v>
      </c>
      <c r="O377" s="146" t="s">
        <v>87</v>
      </c>
    </row>
    <row r="378" spans="1:15">
      <c r="A378" s="146" t="s">
        <v>88</v>
      </c>
      <c r="B378" s="146" t="s">
        <v>7073</v>
      </c>
      <c r="C378" s="146" t="s">
        <v>7074</v>
      </c>
      <c r="D378" s="146" t="s">
        <v>7075</v>
      </c>
      <c r="E378" s="146" t="s">
        <v>7076</v>
      </c>
      <c r="F378" s="146" t="s">
        <v>7077</v>
      </c>
      <c r="G378" s="146" t="s">
        <v>7078</v>
      </c>
      <c r="H378" s="146" t="s">
        <v>7079</v>
      </c>
      <c r="I378" t="s">
        <v>7080</v>
      </c>
      <c r="J378" s="146" t="s">
        <v>7081</v>
      </c>
      <c r="K378" s="146" t="s">
        <v>7082</v>
      </c>
      <c r="L378" t="s">
        <v>7083</v>
      </c>
      <c r="M378" t="s">
        <v>7082</v>
      </c>
      <c r="N378" s="146" t="s">
        <v>7084</v>
      </c>
      <c r="O378" s="146" t="s">
        <v>88</v>
      </c>
    </row>
    <row r="379" spans="1:15">
      <c r="A379" s="146" t="s">
        <v>89</v>
      </c>
      <c r="B379" s="146" t="s">
        <v>7085</v>
      </c>
      <c r="C379" s="146" t="s">
        <v>7086</v>
      </c>
      <c r="D379" s="146" t="s">
        <v>7087</v>
      </c>
      <c r="E379" s="146" t="s">
        <v>7088</v>
      </c>
      <c r="F379" s="146" t="s">
        <v>7065</v>
      </c>
      <c r="G379" s="146" t="s">
        <v>7089</v>
      </c>
      <c r="H379" s="146" t="s">
        <v>7088</v>
      </c>
      <c r="I379" t="s">
        <v>7090</v>
      </c>
      <c r="J379" s="146" t="s">
        <v>7091</v>
      </c>
      <c r="K379" s="146" t="s">
        <v>7092</v>
      </c>
      <c r="L379" t="s">
        <v>7093</v>
      </c>
      <c r="M379" t="s">
        <v>7092</v>
      </c>
      <c r="N379" s="146" t="s">
        <v>7094</v>
      </c>
      <c r="O379" s="146" t="s">
        <v>89</v>
      </c>
    </row>
    <row r="380" spans="1:15">
      <c r="A380" s="146" t="s">
        <v>7095</v>
      </c>
      <c r="B380" s="146" t="s">
        <v>7096</v>
      </c>
      <c r="C380" s="146" t="s">
        <v>7096</v>
      </c>
      <c r="D380" s="146" t="s">
        <v>7097</v>
      </c>
      <c r="E380" s="146" t="s">
        <v>7098</v>
      </c>
      <c r="F380" s="146" t="s">
        <v>7099</v>
      </c>
      <c r="G380" s="146" t="s">
        <v>7100</v>
      </c>
      <c r="H380" s="146" t="s">
        <v>7101</v>
      </c>
      <c r="I380" t="s">
        <v>7102</v>
      </c>
      <c r="J380" s="146" t="s">
        <v>7103</v>
      </c>
      <c r="K380" s="146" t="s">
        <v>7104</v>
      </c>
      <c r="L380" t="s">
        <v>7102</v>
      </c>
      <c r="M380" t="s">
        <v>7105</v>
      </c>
      <c r="N380" s="146" t="s">
        <v>7106</v>
      </c>
      <c r="O380" s="146" t="s">
        <v>7095</v>
      </c>
    </row>
    <row r="381" spans="1:15">
      <c r="A381" s="146" t="s">
        <v>7107</v>
      </c>
      <c r="B381" s="146" t="s">
        <v>7108</v>
      </c>
      <c r="C381" s="146" t="s">
        <v>7109</v>
      </c>
      <c r="D381" s="146" t="s">
        <v>7110</v>
      </c>
      <c r="E381" s="146" t="s">
        <v>7111</v>
      </c>
      <c r="F381" s="146" t="s">
        <v>7112</v>
      </c>
      <c r="G381" s="146" t="s">
        <v>7113</v>
      </c>
      <c r="H381" s="146" t="s">
        <v>7114</v>
      </c>
      <c r="I381" t="s">
        <v>7115</v>
      </c>
      <c r="J381" s="146" t="s">
        <v>7116</v>
      </c>
      <c r="K381" s="146" t="s">
        <v>7117</v>
      </c>
      <c r="L381" t="s">
        <v>7118</v>
      </c>
      <c r="M381" t="s">
        <v>7119</v>
      </c>
      <c r="N381" s="146" t="s">
        <v>7120</v>
      </c>
      <c r="O381" s="146" t="s">
        <v>7107</v>
      </c>
    </row>
    <row r="382" spans="1:15">
      <c r="A382" s="146" t="s">
        <v>7121</v>
      </c>
      <c r="B382" s="146" t="s">
        <v>7122</v>
      </c>
      <c r="C382" s="146" t="s">
        <v>7123</v>
      </c>
      <c r="D382" s="146" t="s">
        <v>7124</v>
      </c>
      <c r="E382" s="146" t="s">
        <v>7125</v>
      </c>
      <c r="F382" s="146" t="s">
        <v>7126</v>
      </c>
      <c r="G382" s="146" t="s">
        <v>7127</v>
      </c>
      <c r="H382" s="146" t="s">
        <v>7128</v>
      </c>
      <c r="I382" s="146" t="s">
        <v>7129</v>
      </c>
      <c r="J382" s="146" t="s">
        <v>7130</v>
      </c>
      <c r="K382" s="146" t="s">
        <v>7131</v>
      </c>
      <c r="L382" s="146" t="s">
        <v>7132</v>
      </c>
      <c r="M382" s="146" t="s">
        <v>7133</v>
      </c>
      <c r="N382" s="146" t="s">
        <v>7134</v>
      </c>
      <c r="O382" s="146" t="s">
        <v>7121</v>
      </c>
    </row>
    <row r="383" spans="1:15">
      <c r="A383" s="146" t="s">
        <v>7135</v>
      </c>
      <c r="B383" s="146" t="s">
        <v>7136</v>
      </c>
      <c r="C383" s="146" t="s">
        <v>7137</v>
      </c>
      <c r="D383" s="146" t="s">
        <v>7138</v>
      </c>
      <c r="E383" s="157" t="s">
        <v>7135</v>
      </c>
      <c r="F383" s="146" t="s">
        <v>7139</v>
      </c>
      <c r="G383" s="146" t="s">
        <v>7140</v>
      </c>
      <c r="H383" s="146" t="s">
        <v>7141</v>
      </c>
      <c r="I383" s="146" t="s">
        <v>7142</v>
      </c>
      <c r="J383" s="157" t="s">
        <v>7135</v>
      </c>
      <c r="K383" s="146" t="s">
        <v>7143</v>
      </c>
      <c r="L383" s="146" t="s">
        <v>7144</v>
      </c>
      <c r="M383" s="146" t="s">
        <v>7145</v>
      </c>
      <c r="N383" s="146" t="s">
        <v>7146</v>
      </c>
      <c r="O383" s="146" t="s">
        <v>7135</v>
      </c>
    </row>
    <row r="384" spans="1:15" ht="43.2">
      <c r="A384" s="146" t="s">
        <v>7147</v>
      </c>
      <c r="B384" s="146" t="s">
        <v>7148</v>
      </c>
      <c r="C384" s="146" t="s">
        <v>7149</v>
      </c>
      <c r="D384" s="146" t="s">
        <v>7150</v>
      </c>
      <c r="E384" s="157" t="s">
        <v>7147</v>
      </c>
      <c r="F384" s="146" t="s">
        <v>7151</v>
      </c>
      <c r="G384" s="146" t="s">
        <v>7152</v>
      </c>
      <c r="H384" s="146" t="s">
        <v>7153</v>
      </c>
      <c r="I384" s="148" t="s">
        <v>7154</v>
      </c>
      <c r="J384" s="157" t="s">
        <v>7147</v>
      </c>
      <c r="K384" s="148" t="s">
        <v>7155</v>
      </c>
      <c r="L384" s="148" t="s">
        <v>7156</v>
      </c>
      <c r="M384" s="148" t="s">
        <v>7157</v>
      </c>
      <c r="N384" s="146" t="s">
        <v>7158</v>
      </c>
      <c r="O384" s="146" t="s">
        <v>7147</v>
      </c>
    </row>
    <row r="385" spans="1:15" ht="43.2">
      <c r="A385" s="146" t="s">
        <v>7159</v>
      </c>
      <c r="B385" s="146" t="s">
        <v>7160</v>
      </c>
      <c r="C385" s="146" t="s">
        <v>7161</v>
      </c>
      <c r="D385" s="146" t="s">
        <v>7162</v>
      </c>
      <c r="E385" s="157" t="s">
        <v>7159</v>
      </c>
      <c r="F385" s="146" t="s">
        <v>7163</v>
      </c>
      <c r="G385" s="146" t="s">
        <v>7164</v>
      </c>
      <c r="H385" s="146" t="s">
        <v>7165</v>
      </c>
      <c r="I385" s="148" t="s">
        <v>7166</v>
      </c>
      <c r="J385" s="157" t="s">
        <v>7159</v>
      </c>
      <c r="K385" s="148" t="s">
        <v>7167</v>
      </c>
      <c r="L385" s="148" t="s">
        <v>7168</v>
      </c>
      <c r="M385" s="148" t="s">
        <v>7169</v>
      </c>
      <c r="N385" s="146" t="s">
        <v>7170</v>
      </c>
      <c r="O385" s="146" t="s">
        <v>7159</v>
      </c>
    </row>
    <row r="386" spans="1:15">
      <c r="A386" s="146" t="s">
        <v>7171</v>
      </c>
      <c r="B386" s="146" t="s">
        <v>7172</v>
      </c>
      <c r="C386" s="146" t="s">
        <v>7173</v>
      </c>
      <c r="D386" s="146" t="s">
        <v>7174</v>
      </c>
      <c r="E386" s="157" t="s">
        <v>7171</v>
      </c>
      <c r="F386" s="146" t="s">
        <v>7175</v>
      </c>
      <c r="G386" s="146" t="s">
        <v>7176</v>
      </c>
      <c r="H386" s="146" t="s">
        <v>7177</v>
      </c>
      <c r="I386" s="146" t="s">
        <v>7178</v>
      </c>
      <c r="J386" s="157" t="s">
        <v>7171</v>
      </c>
      <c r="K386" s="146" t="s">
        <v>7179</v>
      </c>
      <c r="L386" s="146" t="s">
        <v>7180</v>
      </c>
      <c r="M386" s="146" t="s">
        <v>7181</v>
      </c>
      <c r="N386" s="146" t="s">
        <v>7182</v>
      </c>
      <c r="O386" s="146" t="s">
        <v>7171</v>
      </c>
    </row>
    <row r="387" spans="1:15">
      <c r="A387" s="146" t="s">
        <v>7183</v>
      </c>
      <c r="B387" s="146" t="s">
        <v>7184</v>
      </c>
      <c r="C387" s="146" t="s">
        <v>7185</v>
      </c>
      <c r="D387" s="146" t="s">
        <v>7186</v>
      </c>
      <c r="E387" s="157" t="s">
        <v>7183</v>
      </c>
      <c r="F387" s="146" t="s">
        <v>7187</v>
      </c>
      <c r="G387" s="146" t="s">
        <v>7188</v>
      </c>
      <c r="H387" s="146" t="s">
        <v>7189</v>
      </c>
      <c r="I387" s="146" t="s">
        <v>7190</v>
      </c>
      <c r="J387" s="157" t="s">
        <v>7183</v>
      </c>
      <c r="K387" s="146" t="s">
        <v>7191</v>
      </c>
      <c r="L387" s="146" t="s">
        <v>7180</v>
      </c>
      <c r="M387" s="146" t="s">
        <v>7192</v>
      </c>
      <c r="N387" s="146" t="s">
        <v>7193</v>
      </c>
      <c r="O387" s="146" t="s">
        <v>7183</v>
      </c>
    </row>
    <row r="388" spans="1:15" ht="28.8">
      <c r="A388" s="146" t="s">
        <v>7194</v>
      </c>
      <c r="B388" s="146" t="s">
        <v>7195</v>
      </c>
      <c r="C388" s="146" t="s">
        <v>7196</v>
      </c>
      <c r="D388" s="146" t="s">
        <v>7197</v>
      </c>
      <c r="E388" s="157" t="s">
        <v>7194</v>
      </c>
      <c r="F388" s="146" t="s">
        <v>7198</v>
      </c>
      <c r="G388" s="146" t="s">
        <v>7199</v>
      </c>
      <c r="H388" s="146" t="s">
        <v>7200</v>
      </c>
      <c r="I388" s="148" t="s">
        <v>7201</v>
      </c>
      <c r="J388" s="157" t="s">
        <v>7194</v>
      </c>
      <c r="K388" s="148" t="s">
        <v>7202</v>
      </c>
      <c r="L388" s="148" t="s">
        <v>7203</v>
      </c>
      <c r="M388" s="148" t="s">
        <v>7204</v>
      </c>
      <c r="N388" s="146" t="s">
        <v>7205</v>
      </c>
      <c r="O388" s="146" t="s">
        <v>7194</v>
      </c>
    </row>
    <row r="389" spans="1:15" ht="28.8">
      <c r="A389" s="146" t="s">
        <v>7206</v>
      </c>
      <c r="B389" s="146" t="s">
        <v>7207</v>
      </c>
      <c r="C389" s="146" t="s">
        <v>7208</v>
      </c>
      <c r="D389" s="146" t="s">
        <v>7209</v>
      </c>
      <c r="E389" s="157" t="s">
        <v>7206</v>
      </c>
      <c r="F389" s="146" t="s">
        <v>7210</v>
      </c>
      <c r="G389" s="146" t="s">
        <v>7211</v>
      </c>
      <c r="H389" s="146" t="s">
        <v>7212</v>
      </c>
      <c r="I389" s="148" t="s">
        <v>7213</v>
      </c>
      <c r="J389" s="157" t="s">
        <v>7206</v>
      </c>
      <c r="K389" s="148" t="s">
        <v>7214</v>
      </c>
      <c r="L389" s="148" t="s">
        <v>7215</v>
      </c>
      <c r="M389" s="148" t="s">
        <v>7216</v>
      </c>
      <c r="N389" s="146" t="s">
        <v>7217</v>
      </c>
      <c r="O389" s="146" t="s">
        <v>7206</v>
      </c>
    </row>
    <row r="390" spans="1:15" ht="43.2">
      <c r="A390" s="146" t="s">
        <v>7218</v>
      </c>
      <c r="B390" s="146" t="s">
        <v>7219</v>
      </c>
      <c r="C390" s="146" t="s">
        <v>7220</v>
      </c>
      <c r="D390" s="146" t="s">
        <v>7221</v>
      </c>
      <c r="E390" s="157" t="s">
        <v>7218</v>
      </c>
      <c r="F390" s="146" t="s">
        <v>7222</v>
      </c>
      <c r="G390" s="146" t="s">
        <v>7223</v>
      </c>
      <c r="H390" s="146" t="s">
        <v>7224</v>
      </c>
      <c r="I390" s="148" t="s">
        <v>7225</v>
      </c>
      <c r="J390" s="157" t="s">
        <v>7218</v>
      </c>
      <c r="K390" s="148" t="s">
        <v>7226</v>
      </c>
      <c r="L390" s="148" t="s">
        <v>7227</v>
      </c>
      <c r="M390" s="148" t="s">
        <v>7228</v>
      </c>
      <c r="N390" s="146" t="s">
        <v>7229</v>
      </c>
      <c r="O390" s="146" t="s">
        <v>7218</v>
      </c>
    </row>
    <row r="391" spans="1:15" ht="43.2">
      <c r="A391" s="146" t="s">
        <v>7230</v>
      </c>
      <c r="B391" s="146" t="s">
        <v>7219</v>
      </c>
      <c r="C391" s="146" t="s">
        <v>7231</v>
      </c>
      <c r="D391" s="146" t="s">
        <v>7232</v>
      </c>
      <c r="E391" s="157" t="s">
        <v>7230</v>
      </c>
      <c r="F391" s="146" t="s">
        <v>7233</v>
      </c>
      <c r="G391" s="146" t="s">
        <v>7234</v>
      </c>
      <c r="H391" s="146" t="s">
        <v>7235</v>
      </c>
      <c r="I391" s="148" t="s">
        <v>7236</v>
      </c>
      <c r="J391" s="157" t="s">
        <v>7230</v>
      </c>
      <c r="K391" s="148" t="s">
        <v>7237</v>
      </c>
      <c r="L391" s="148" t="s">
        <v>7238</v>
      </c>
      <c r="M391" s="148" t="s">
        <v>7239</v>
      </c>
      <c r="N391" s="146" t="s">
        <v>7240</v>
      </c>
      <c r="O391" s="146" t="s">
        <v>7230</v>
      </c>
    </row>
    <row r="392" spans="1:15" ht="43.2">
      <c r="A392" s="146" t="s">
        <v>7241</v>
      </c>
      <c r="B392" s="146" t="s">
        <v>7242</v>
      </c>
      <c r="C392" s="146" t="s">
        <v>7243</v>
      </c>
      <c r="D392" s="146" t="s">
        <v>7244</v>
      </c>
      <c r="E392" s="157" t="s">
        <v>7241</v>
      </c>
      <c r="F392" s="146" t="s">
        <v>7245</v>
      </c>
      <c r="G392" s="146" t="s">
        <v>7246</v>
      </c>
      <c r="H392" s="146" t="s">
        <v>7247</v>
      </c>
      <c r="I392" s="148" t="s">
        <v>7248</v>
      </c>
      <c r="J392" s="157" t="s">
        <v>7241</v>
      </c>
      <c r="K392" s="148" t="s">
        <v>7249</v>
      </c>
      <c r="L392" s="148" t="s">
        <v>7250</v>
      </c>
      <c r="M392" s="148" t="s">
        <v>7251</v>
      </c>
      <c r="N392" s="146" t="s">
        <v>7252</v>
      </c>
      <c r="O392" s="146" t="s">
        <v>7241</v>
      </c>
    </row>
    <row r="393" spans="1:15">
      <c r="A393" s="146" t="s">
        <v>7253</v>
      </c>
      <c r="B393" s="146" t="s">
        <v>7254</v>
      </c>
      <c r="C393" s="146" t="s">
        <v>7255</v>
      </c>
      <c r="D393" s="146" t="s">
        <v>7256</v>
      </c>
      <c r="E393" s="157" t="s">
        <v>7253</v>
      </c>
      <c r="F393" s="146" t="s">
        <v>7257</v>
      </c>
      <c r="G393" s="146" t="s">
        <v>7258</v>
      </c>
      <c r="H393" s="146" t="s">
        <v>7259</v>
      </c>
      <c r="I393" s="146" t="s">
        <v>7260</v>
      </c>
      <c r="J393" s="157" t="s">
        <v>7253</v>
      </c>
      <c r="K393" s="146" t="s">
        <v>7261</v>
      </c>
      <c r="L393" s="146" t="s">
        <v>7262</v>
      </c>
      <c r="M393" s="146" t="s">
        <v>7261</v>
      </c>
      <c r="N393" s="146" t="s">
        <v>7263</v>
      </c>
      <c r="O393" s="146" t="s">
        <v>7253</v>
      </c>
    </row>
    <row r="394" spans="1:15">
      <c r="A394" t="s">
        <v>7264</v>
      </c>
      <c r="B394" t="s">
        <v>7265</v>
      </c>
      <c r="C394" t="s">
        <v>7266</v>
      </c>
      <c r="D394" t="s">
        <v>7267</v>
      </c>
      <c r="E394" s="170" t="s">
        <v>7264</v>
      </c>
      <c r="F394" t="s">
        <v>7268</v>
      </c>
      <c r="G394" t="s">
        <v>7269</v>
      </c>
      <c r="H394" t="s">
        <v>7270</v>
      </c>
      <c r="I394" t="s">
        <v>7271</v>
      </c>
      <c r="J394" s="170" t="s">
        <v>7264</v>
      </c>
      <c r="K394" t="s">
        <v>7272</v>
      </c>
      <c r="L394" t="s">
        <v>7273</v>
      </c>
      <c r="M394" t="s">
        <v>7274</v>
      </c>
      <c r="N394" t="s">
        <v>7275</v>
      </c>
      <c r="O394" t="s">
        <v>7264</v>
      </c>
    </row>
    <row r="395" spans="1:15" ht="28.8">
      <c r="A395" s="146" t="s">
        <v>7276</v>
      </c>
      <c r="B395" s="146" t="s">
        <v>7277</v>
      </c>
      <c r="C395" s="146" t="s">
        <v>7278</v>
      </c>
      <c r="D395" s="146" t="s">
        <v>7279</v>
      </c>
      <c r="E395" s="157" t="s">
        <v>7276</v>
      </c>
      <c r="F395" s="146" t="s">
        <v>7280</v>
      </c>
      <c r="G395" s="146" t="s">
        <v>7281</v>
      </c>
      <c r="H395" s="146" t="s">
        <v>7282</v>
      </c>
      <c r="I395" s="146" t="s">
        <v>7283</v>
      </c>
      <c r="J395" s="157" t="s">
        <v>7276</v>
      </c>
      <c r="K395" s="146" t="s">
        <v>7284</v>
      </c>
      <c r="L395" s="146" t="s">
        <v>7285</v>
      </c>
      <c r="M395" s="148" t="s">
        <v>7286</v>
      </c>
      <c r="N395" s="146" t="s">
        <v>7287</v>
      </c>
      <c r="O395" s="146" t="s">
        <v>7276</v>
      </c>
    </row>
    <row r="396" spans="1:15">
      <c r="A396" s="146" t="s">
        <v>7288</v>
      </c>
      <c r="B396" s="146" t="s">
        <v>7289</v>
      </c>
      <c r="C396" s="146" t="s">
        <v>7290</v>
      </c>
      <c r="D396" s="146" t="s">
        <v>7291</v>
      </c>
      <c r="E396" s="157" t="s">
        <v>7288</v>
      </c>
      <c r="F396" s="146" t="s">
        <v>7292</v>
      </c>
      <c r="G396" s="146" t="s">
        <v>7293</v>
      </c>
      <c r="H396" s="146" t="s">
        <v>7294</v>
      </c>
      <c r="I396" s="146" t="s">
        <v>7295</v>
      </c>
      <c r="J396" s="157" t="s">
        <v>7288</v>
      </c>
      <c r="K396" s="146" t="s">
        <v>7296</v>
      </c>
      <c r="L396" s="146" t="s">
        <v>7297</v>
      </c>
      <c r="M396" s="146" t="s">
        <v>7298</v>
      </c>
      <c r="N396" s="146" t="s">
        <v>7299</v>
      </c>
      <c r="O396" s="146" t="s">
        <v>7288</v>
      </c>
    </row>
    <row r="397" spans="1:15" ht="28.8">
      <c r="A397" s="146" t="s">
        <v>5279</v>
      </c>
      <c r="B397" s="146" t="s">
        <v>7300</v>
      </c>
      <c r="C397" s="146" t="s">
        <v>7301</v>
      </c>
      <c r="D397" s="146" t="s">
        <v>7302</v>
      </c>
      <c r="E397" s="157" t="s">
        <v>5279</v>
      </c>
      <c r="F397" s="146" t="s">
        <v>7303</v>
      </c>
      <c r="G397" s="146" t="s">
        <v>7304</v>
      </c>
      <c r="H397" s="146" t="s">
        <v>7305</v>
      </c>
      <c r="I397" s="148" t="s">
        <v>7306</v>
      </c>
      <c r="J397" s="157" t="s">
        <v>5279</v>
      </c>
      <c r="K397" s="146" t="s">
        <v>7307</v>
      </c>
      <c r="L397" s="148" t="s">
        <v>7308</v>
      </c>
      <c r="M397" s="148" t="s">
        <v>7309</v>
      </c>
      <c r="N397" s="146" t="s">
        <v>7310</v>
      </c>
      <c r="O397" s="146" t="s">
        <v>5279</v>
      </c>
    </row>
    <row r="398" spans="1:15">
      <c r="A398" s="146" t="s">
        <v>2378</v>
      </c>
      <c r="B398" s="146" t="s">
        <v>7311</v>
      </c>
      <c r="C398" s="146" t="s">
        <v>7312</v>
      </c>
      <c r="D398" s="146" t="s">
        <v>7313</v>
      </c>
      <c r="E398" s="157" t="s">
        <v>2378</v>
      </c>
      <c r="F398" s="146" t="s">
        <v>7314</v>
      </c>
      <c r="G398" s="146" t="s">
        <v>7315</v>
      </c>
      <c r="H398" s="146" t="s">
        <v>7316</v>
      </c>
      <c r="I398" s="146" t="s">
        <v>7317</v>
      </c>
      <c r="J398" s="157" t="s">
        <v>2378</v>
      </c>
      <c r="K398" s="146" t="s">
        <v>7318</v>
      </c>
      <c r="L398" s="146" t="s">
        <v>7319</v>
      </c>
      <c r="M398" s="146" t="s">
        <v>7320</v>
      </c>
      <c r="N398" s="146" t="s">
        <v>7321</v>
      </c>
      <c r="O398" s="146" t="s">
        <v>2378</v>
      </c>
    </row>
    <row r="399" spans="1:15" ht="43.2">
      <c r="A399" s="146" t="s">
        <v>7322</v>
      </c>
      <c r="B399" s="146" t="s">
        <v>7323</v>
      </c>
      <c r="C399" s="146" t="s">
        <v>7324</v>
      </c>
      <c r="D399" s="146" t="s">
        <v>7325</v>
      </c>
      <c r="E399" s="157" t="s">
        <v>7322</v>
      </c>
      <c r="F399" s="146" t="s">
        <v>7326</v>
      </c>
      <c r="G399" s="146" t="s">
        <v>7327</v>
      </c>
      <c r="H399" s="146" t="s">
        <v>7328</v>
      </c>
      <c r="I399" s="148" t="s">
        <v>7329</v>
      </c>
      <c r="J399" s="157" t="s">
        <v>7322</v>
      </c>
      <c r="K399" s="148" t="s">
        <v>7330</v>
      </c>
      <c r="L399" s="148" t="s">
        <v>7331</v>
      </c>
      <c r="M399" s="148" t="s">
        <v>7332</v>
      </c>
      <c r="N399" s="146" t="s">
        <v>7333</v>
      </c>
      <c r="O399" s="146" t="s">
        <v>7322</v>
      </c>
    </row>
    <row r="400" spans="1:15" ht="28.8">
      <c r="A400" s="146" t="s">
        <v>7334</v>
      </c>
      <c r="B400" s="146" t="s">
        <v>7335</v>
      </c>
      <c r="C400" s="146" t="s">
        <v>7336</v>
      </c>
      <c r="D400" s="146" t="s">
        <v>7337</v>
      </c>
      <c r="E400" s="157" t="s">
        <v>7334</v>
      </c>
      <c r="F400" s="146" t="s">
        <v>7338</v>
      </c>
      <c r="G400" s="146" t="s">
        <v>7339</v>
      </c>
      <c r="H400" s="146" t="s">
        <v>7340</v>
      </c>
      <c r="I400" s="146" t="s">
        <v>7341</v>
      </c>
      <c r="J400" s="157" t="s">
        <v>7334</v>
      </c>
      <c r="K400" s="148" t="s">
        <v>7342</v>
      </c>
      <c r="L400" s="148" t="s">
        <v>7343</v>
      </c>
      <c r="M400" s="148" t="s">
        <v>7344</v>
      </c>
      <c r="N400" s="146" t="s">
        <v>7345</v>
      </c>
      <c r="O400" s="146" t="s">
        <v>7334</v>
      </c>
    </row>
    <row r="401" spans="1:15" ht="43.2">
      <c r="A401" s="146" t="s">
        <v>5646</v>
      </c>
      <c r="B401" s="146" t="s">
        <v>7346</v>
      </c>
      <c r="C401" s="148" t="s">
        <v>7347</v>
      </c>
      <c r="D401" s="146" t="s">
        <v>7348</v>
      </c>
      <c r="E401" s="157" t="s">
        <v>5646</v>
      </c>
      <c r="F401" s="146" t="s">
        <v>7349</v>
      </c>
      <c r="G401" s="146" t="s">
        <v>7350</v>
      </c>
      <c r="H401" s="146" t="s">
        <v>7351</v>
      </c>
      <c r="I401" s="146" t="s">
        <v>7352</v>
      </c>
      <c r="J401" s="157" t="s">
        <v>5646</v>
      </c>
      <c r="K401" s="146" t="s">
        <v>7353</v>
      </c>
      <c r="L401" s="146" t="s">
        <v>7354</v>
      </c>
      <c r="M401" s="148" t="s">
        <v>7355</v>
      </c>
      <c r="N401" s="146" t="s">
        <v>7356</v>
      </c>
      <c r="O401" s="146" t="s">
        <v>5646</v>
      </c>
    </row>
    <row r="402" spans="1:15">
      <c r="A402" s="146" t="s">
        <v>7357</v>
      </c>
      <c r="B402" s="146" t="s">
        <v>7358</v>
      </c>
      <c r="C402" s="146" t="s">
        <v>7359</v>
      </c>
      <c r="D402" s="146" t="s">
        <v>7360</v>
      </c>
      <c r="E402" s="157" t="s">
        <v>7357</v>
      </c>
      <c r="F402" s="146" t="s">
        <v>7361</v>
      </c>
      <c r="G402" s="146" t="s">
        <v>7362</v>
      </c>
      <c r="H402" s="146" t="s">
        <v>7363</v>
      </c>
      <c r="I402" s="146" t="s">
        <v>7364</v>
      </c>
      <c r="J402" s="157" t="s">
        <v>7357</v>
      </c>
      <c r="K402" s="146" t="s">
        <v>7365</v>
      </c>
      <c r="L402" s="146" t="s">
        <v>7366</v>
      </c>
      <c r="M402" s="146" t="s">
        <v>7367</v>
      </c>
      <c r="N402" s="146" t="s">
        <v>7368</v>
      </c>
      <c r="O402" s="146" t="s">
        <v>7357</v>
      </c>
    </row>
    <row r="403" spans="1:15" ht="28.8">
      <c r="A403" s="146" t="s">
        <v>7369</v>
      </c>
      <c r="B403" s="146" t="s">
        <v>7370</v>
      </c>
      <c r="C403" s="146" t="s">
        <v>7371</v>
      </c>
      <c r="D403" s="146" t="s">
        <v>7372</v>
      </c>
      <c r="E403" s="157" t="s">
        <v>7369</v>
      </c>
      <c r="F403" s="146" t="s">
        <v>7373</v>
      </c>
      <c r="G403" s="146" t="s">
        <v>7374</v>
      </c>
      <c r="H403" s="146" t="s">
        <v>7375</v>
      </c>
      <c r="I403" s="148" t="s">
        <v>7376</v>
      </c>
      <c r="J403" s="157" t="s">
        <v>7369</v>
      </c>
      <c r="K403" s="148" t="s">
        <v>7377</v>
      </c>
      <c r="L403" s="148" t="s">
        <v>7378</v>
      </c>
      <c r="M403" s="148" t="s">
        <v>7379</v>
      </c>
      <c r="N403" s="146" t="s">
        <v>7380</v>
      </c>
      <c r="O403" s="146" t="s">
        <v>7369</v>
      </c>
    </row>
    <row r="404" spans="1:15">
      <c r="A404" s="146" t="s">
        <v>7381</v>
      </c>
      <c r="B404" s="146" t="s">
        <v>7382</v>
      </c>
      <c r="C404" s="146" t="s">
        <v>7383</v>
      </c>
      <c r="D404" s="146" t="s">
        <v>7384</v>
      </c>
      <c r="E404" s="157" t="s">
        <v>7381</v>
      </c>
      <c r="F404" s="146" t="s">
        <v>7385</v>
      </c>
      <c r="G404" s="146" t="s">
        <v>7386</v>
      </c>
      <c r="H404" s="146" t="s">
        <v>7387</v>
      </c>
      <c r="I404" s="146" t="s">
        <v>7388</v>
      </c>
      <c r="J404" s="157" t="s">
        <v>7381</v>
      </c>
      <c r="K404" s="146" t="s">
        <v>7389</v>
      </c>
      <c r="L404" s="146" t="s">
        <v>7390</v>
      </c>
      <c r="M404" s="146" t="s">
        <v>7391</v>
      </c>
      <c r="N404" s="146" t="s">
        <v>7392</v>
      </c>
      <c r="O404" s="146" t="s">
        <v>7381</v>
      </c>
    </row>
    <row r="405" spans="1:15">
      <c r="A405" s="146" t="s">
        <v>7393</v>
      </c>
      <c r="B405" s="146" t="s">
        <v>7394</v>
      </c>
      <c r="C405" s="146" t="s">
        <v>7395</v>
      </c>
      <c r="D405" s="146" t="s">
        <v>7396</v>
      </c>
      <c r="E405" s="157" t="s">
        <v>7393</v>
      </c>
      <c r="F405" s="146" t="s">
        <v>7397</v>
      </c>
      <c r="G405" s="146" t="s">
        <v>7398</v>
      </c>
      <c r="H405" s="146" t="s">
        <v>7399</v>
      </c>
      <c r="I405" s="146" t="s">
        <v>7400</v>
      </c>
      <c r="J405" s="157" t="s">
        <v>7393</v>
      </c>
      <c r="K405" s="146" t="s">
        <v>7401</v>
      </c>
      <c r="L405" s="146" t="s">
        <v>7402</v>
      </c>
      <c r="M405" s="146" t="s">
        <v>7403</v>
      </c>
      <c r="N405" s="146" t="s">
        <v>7404</v>
      </c>
      <c r="O405" s="146" t="s">
        <v>7393</v>
      </c>
    </row>
    <row r="406" spans="1:15">
      <c r="A406" s="146" t="s">
        <v>7405</v>
      </c>
      <c r="B406" s="146" t="s">
        <v>7406</v>
      </c>
      <c r="C406" s="146" t="s">
        <v>7407</v>
      </c>
      <c r="D406" s="146" t="s">
        <v>7408</v>
      </c>
      <c r="E406" s="157" t="s">
        <v>7405</v>
      </c>
      <c r="F406" s="146" t="s">
        <v>7409</v>
      </c>
      <c r="G406" s="146" t="s">
        <v>7410</v>
      </c>
      <c r="H406" s="146" t="s">
        <v>7411</v>
      </c>
      <c r="I406" s="146" t="s">
        <v>7412</v>
      </c>
      <c r="J406" s="157" t="s">
        <v>7405</v>
      </c>
      <c r="K406" s="146" t="s">
        <v>7413</v>
      </c>
      <c r="L406" s="146" t="s">
        <v>7414</v>
      </c>
      <c r="M406" s="146" t="s">
        <v>7415</v>
      </c>
      <c r="N406" s="146" t="s">
        <v>7416</v>
      </c>
      <c r="O406" s="146" t="s">
        <v>7405</v>
      </c>
    </row>
    <row r="407" spans="1:15">
      <c r="A407" s="146" t="s">
        <v>7417</v>
      </c>
      <c r="B407" s="146" t="s">
        <v>7418</v>
      </c>
      <c r="C407" s="146" t="s">
        <v>7419</v>
      </c>
      <c r="D407" s="146" t="s">
        <v>7420</v>
      </c>
      <c r="E407" s="157" t="s">
        <v>7417</v>
      </c>
      <c r="F407" s="146" t="s">
        <v>7421</v>
      </c>
      <c r="G407" s="146" t="s">
        <v>7422</v>
      </c>
      <c r="H407" s="146" t="s">
        <v>7423</v>
      </c>
      <c r="I407" s="146" t="s">
        <v>7424</v>
      </c>
      <c r="J407" s="157" t="s">
        <v>7417</v>
      </c>
      <c r="K407" s="146" t="s">
        <v>7425</v>
      </c>
      <c r="L407" s="146" t="s">
        <v>7426</v>
      </c>
      <c r="M407" s="146" t="s">
        <v>7426</v>
      </c>
      <c r="N407" s="146" t="s">
        <v>7427</v>
      </c>
      <c r="O407" s="146" t="s">
        <v>7417</v>
      </c>
    </row>
    <row r="408" spans="1:15">
      <c r="A408" s="146" t="s">
        <v>7428</v>
      </c>
      <c r="B408" s="146" t="s">
        <v>7428</v>
      </c>
      <c r="C408" s="146" t="s">
        <v>7428</v>
      </c>
      <c r="D408" s="146" t="s">
        <v>7428</v>
      </c>
      <c r="E408" s="157" t="s">
        <v>7428</v>
      </c>
      <c r="F408" s="146" t="s">
        <v>7428</v>
      </c>
      <c r="G408" s="146" t="s">
        <v>7428</v>
      </c>
      <c r="H408" s="146" t="s">
        <v>7428</v>
      </c>
      <c r="I408" s="146" t="s">
        <v>7428</v>
      </c>
      <c r="J408" s="157" t="s">
        <v>7428</v>
      </c>
      <c r="K408" s="146" t="s">
        <v>7428</v>
      </c>
      <c r="L408" s="146" t="s">
        <v>7428</v>
      </c>
      <c r="M408" s="146" t="s">
        <v>7428</v>
      </c>
      <c r="N408" s="146" t="s">
        <v>7428</v>
      </c>
      <c r="O408" s="146" t="s">
        <v>7428</v>
      </c>
    </row>
    <row r="409" spans="1:15">
      <c r="A409" s="146" t="s">
        <v>7429</v>
      </c>
      <c r="B409" s="151" t="s">
        <v>7430</v>
      </c>
      <c r="C409" s="146" t="s">
        <v>7431</v>
      </c>
      <c r="D409" s="146" t="s">
        <v>7432</v>
      </c>
      <c r="E409" s="146" t="s">
        <v>7433</v>
      </c>
      <c r="F409" s="146" t="s">
        <v>7434</v>
      </c>
      <c r="G409" s="146" t="s">
        <v>7435</v>
      </c>
      <c r="H409" s="146" t="s">
        <v>7436</v>
      </c>
      <c r="I409" s="169" t="s">
        <v>7437</v>
      </c>
      <c r="J409" s="146" t="s">
        <v>7438</v>
      </c>
      <c r="K409" s="176" t="s">
        <v>7439</v>
      </c>
      <c r="L409" s="169" t="s">
        <v>7440</v>
      </c>
      <c r="M409" s="169" t="s">
        <v>7441</v>
      </c>
      <c r="N409" s="146" t="s">
        <v>7442</v>
      </c>
      <c r="O409" s="146" t="s">
        <v>7429</v>
      </c>
    </row>
    <row r="410" spans="1:15">
      <c r="A410" s="146" t="s">
        <v>7443</v>
      </c>
      <c r="B410" s="151" t="s">
        <v>7444</v>
      </c>
      <c r="C410" s="146" t="s">
        <v>7445</v>
      </c>
      <c r="D410" s="146" t="s">
        <v>7446</v>
      </c>
      <c r="E410" s="146" t="s">
        <v>7447</v>
      </c>
      <c r="F410" s="146" t="s">
        <v>7448</v>
      </c>
      <c r="G410" s="146" t="s">
        <v>7449</v>
      </c>
      <c r="H410" s="146" t="s">
        <v>7450</v>
      </c>
      <c r="I410" s="169" t="s">
        <v>7451</v>
      </c>
      <c r="J410" s="146" t="s">
        <v>7452</v>
      </c>
      <c r="K410" s="176" t="s">
        <v>7453</v>
      </c>
      <c r="L410" s="169" t="s">
        <v>7454</v>
      </c>
      <c r="M410" s="169" t="s">
        <v>7455</v>
      </c>
      <c r="N410" s="146" t="s">
        <v>7456</v>
      </c>
      <c r="O410" s="146" t="s">
        <v>7443</v>
      </c>
    </row>
    <row r="411" spans="1:15">
      <c r="A411" s="146" t="s">
        <v>7457</v>
      </c>
      <c r="B411" s="146" t="s">
        <v>7458</v>
      </c>
      <c r="C411" s="146" t="s">
        <v>7459</v>
      </c>
      <c r="D411" s="146" t="s">
        <v>7460</v>
      </c>
      <c r="E411" s="146" t="s">
        <v>7461</v>
      </c>
      <c r="F411" s="146" t="s">
        <v>7462</v>
      </c>
      <c r="G411" s="149" t="s">
        <v>7463</v>
      </c>
      <c r="H411" s="146" t="s">
        <v>7464</v>
      </c>
      <c r="I411" s="1" t="s">
        <v>7465</v>
      </c>
      <c r="J411" s="149" t="s">
        <v>7466</v>
      </c>
      <c r="K411" s="37" t="s">
        <v>7467</v>
      </c>
      <c r="L411" s="1" t="s">
        <v>7468</v>
      </c>
      <c r="M411" s="1" t="s">
        <v>7469</v>
      </c>
      <c r="N411" s="37" t="s">
        <v>7470</v>
      </c>
      <c r="O411" s="146" t="s">
        <v>7457</v>
      </c>
    </row>
    <row r="412" spans="1:15" ht="28.8">
      <c r="A412" s="148" t="s">
        <v>7471</v>
      </c>
      <c r="B412" s="148" t="s">
        <v>7472</v>
      </c>
      <c r="C412" s="148" t="s">
        <v>7473</v>
      </c>
      <c r="D412" s="148" t="s">
        <v>3680</v>
      </c>
      <c r="E412" s="148" t="s">
        <v>7474</v>
      </c>
      <c r="F412" s="148" t="s">
        <v>7475</v>
      </c>
      <c r="G412" s="149" t="s">
        <v>7476</v>
      </c>
      <c r="H412" s="148" t="s">
        <v>7477</v>
      </c>
      <c r="I412" s="81" t="s">
        <v>7478</v>
      </c>
      <c r="J412" s="149" t="s">
        <v>7479</v>
      </c>
      <c r="K412" s="37" t="s">
        <v>7480</v>
      </c>
      <c r="L412" s="81" t="s">
        <v>7481</v>
      </c>
      <c r="M412" s="81" t="s">
        <v>7482</v>
      </c>
      <c r="N412" s="154" t="s">
        <v>7483</v>
      </c>
      <c r="O412" s="148" t="s">
        <v>7471</v>
      </c>
    </row>
    <row r="413" spans="1:15">
      <c r="A413" s="146" t="s">
        <v>7484</v>
      </c>
      <c r="B413" s="148" t="s">
        <v>7485</v>
      </c>
      <c r="C413" s="146" t="s">
        <v>7486</v>
      </c>
      <c r="D413" s="146" t="s">
        <v>7487</v>
      </c>
      <c r="E413" s="146" t="s">
        <v>7488</v>
      </c>
      <c r="F413" s="146" t="s">
        <v>7489</v>
      </c>
      <c r="G413" s="146" t="s">
        <v>7490</v>
      </c>
      <c r="H413" s="146" t="s">
        <v>7491</v>
      </c>
      <c r="I413" s="146" t="s">
        <v>7492</v>
      </c>
      <c r="J413" s="146" t="s">
        <v>7493</v>
      </c>
      <c r="K413" s="146" t="s">
        <v>7494</v>
      </c>
      <c r="L413" s="146" t="s">
        <v>7495</v>
      </c>
      <c r="M413" s="146" t="s">
        <v>7496</v>
      </c>
      <c r="N413" s="146" t="s">
        <v>7497</v>
      </c>
      <c r="O413" s="146" t="s">
        <v>7484</v>
      </c>
    </row>
    <row r="414" spans="1:15">
      <c r="A414" s="146" t="s">
        <v>7498</v>
      </c>
      <c r="B414" s="151" t="s">
        <v>7499</v>
      </c>
      <c r="C414" s="146" t="s">
        <v>7500</v>
      </c>
      <c r="D414" s="146" t="s">
        <v>7501</v>
      </c>
      <c r="E414" s="146" t="s">
        <v>7502</v>
      </c>
      <c r="F414" s="146" t="s">
        <v>7503</v>
      </c>
      <c r="G414" s="146" t="s">
        <v>7504</v>
      </c>
      <c r="H414" s="146" t="s">
        <v>7505</v>
      </c>
      <c r="I414" s="146" t="s">
        <v>7506</v>
      </c>
      <c r="J414" s="146" t="s">
        <v>7507</v>
      </c>
      <c r="K414" s="146" t="s">
        <v>7508</v>
      </c>
      <c r="L414" s="146" t="s">
        <v>7509</v>
      </c>
      <c r="M414" s="146" t="s">
        <v>7510</v>
      </c>
      <c r="N414" s="146" t="s">
        <v>7511</v>
      </c>
      <c r="O414" s="146" t="s">
        <v>7498</v>
      </c>
    </row>
    <row r="415" spans="1:15">
      <c r="A415" s="146" t="s">
        <v>7512</v>
      </c>
      <c r="B415" s="146" t="s">
        <v>7513</v>
      </c>
      <c r="C415" s="146" t="s">
        <v>7514</v>
      </c>
      <c r="D415" s="146" t="s">
        <v>7515</v>
      </c>
      <c r="E415" s="146" t="s">
        <v>7516</v>
      </c>
      <c r="F415" s="146" t="s">
        <v>7517</v>
      </c>
      <c r="G415" s="146" t="s">
        <v>7518</v>
      </c>
      <c r="H415" s="146" t="s">
        <v>7519</v>
      </c>
      <c r="I415" s="146" t="s">
        <v>7520</v>
      </c>
      <c r="J415" s="146" t="s">
        <v>7521</v>
      </c>
      <c r="K415" s="146" t="s">
        <v>7522</v>
      </c>
      <c r="L415" s="146" t="s">
        <v>7523</v>
      </c>
      <c r="M415" s="146" t="s">
        <v>7524</v>
      </c>
      <c r="N415" s="146" t="s">
        <v>7525</v>
      </c>
      <c r="O415" s="146" t="s">
        <v>7512</v>
      </c>
    </row>
    <row r="416" spans="1:15">
      <c r="A416" s="146" t="s">
        <v>7526</v>
      </c>
      <c r="B416" s="146" t="s">
        <v>7527</v>
      </c>
      <c r="C416" s="146" t="s">
        <v>7528</v>
      </c>
      <c r="D416" s="146" t="s">
        <v>7529</v>
      </c>
      <c r="E416" s="146" t="s">
        <v>7530</v>
      </c>
      <c r="F416" s="146" t="s">
        <v>7531</v>
      </c>
      <c r="G416" s="146" t="s">
        <v>7532</v>
      </c>
      <c r="H416" s="146" t="s">
        <v>7533</v>
      </c>
      <c r="I416" s="146" t="s">
        <v>7534</v>
      </c>
      <c r="J416" s="146" t="s">
        <v>7535</v>
      </c>
      <c r="K416" s="146" t="s">
        <v>7536</v>
      </c>
      <c r="L416" s="146" t="s">
        <v>7537</v>
      </c>
      <c r="M416" s="146" t="s">
        <v>7538</v>
      </c>
      <c r="N416" s="146" t="s">
        <v>7539</v>
      </c>
      <c r="O416" s="146" t="s">
        <v>7526</v>
      </c>
    </row>
    <row r="417" spans="1:15">
      <c r="A417" s="146" t="s">
        <v>7540</v>
      </c>
      <c r="B417" s="146" t="s">
        <v>7541</v>
      </c>
      <c r="C417" s="146" t="s">
        <v>7542</v>
      </c>
      <c r="D417" s="146" t="s">
        <v>7543</v>
      </c>
      <c r="E417" s="146" t="s">
        <v>7544</v>
      </c>
      <c r="F417" s="146" t="s">
        <v>7545</v>
      </c>
      <c r="G417" s="146" t="s">
        <v>7546</v>
      </c>
      <c r="H417" s="146" t="s">
        <v>7547</v>
      </c>
      <c r="I417" s="146" t="s">
        <v>7548</v>
      </c>
      <c r="J417" s="146" t="s">
        <v>7549</v>
      </c>
      <c r="K417" s="146" t="s">
        <v>7550</v>
      </c>
      <c r="L417" s="146" t="s">
        <v>7551</v>
      </c>
      <c r="M417" s="146" t="s">
        <v>7552</v>
      </c>
      <c r="N417" s="146" t="s">
        <v>7553</v>
      </c>
      <c r="O417" s="146" t="s">
        <v>7540</v>
      </c>
    </row>
    <row r="418" spans="1:15">
      <c r="A418" s="146" t="s">
        <v>7554</v>
      </c>
      <c r="B418" s="146" t="s">
        <v>7555</v>
      </c>
      <c r="C418" s="146" t="s">
        <v>7556</v>
      </c>
      <c r="D418" s="146" t="s">
        <v>7557</v>
      </c>
      <c r="E418" s="146" t="s">
        <v>7558</v>
      </c>
      <c r="F418" s="146" t="s">
        <v>7559</v>
      </c>
      <c r="G418" s="146" t="s">
        <v>7560</v>
      </c>
      <c r="H418" s="146" t="s">
        <v>7561</v>
      </c>
      <c r="I418" s="146" t="s">
        <v>7562</v>
      </c>
      <c r="J418" s="146" t="s">
        <v>7563</v>
      </c>
      <c r="K418" s="146" t="s">
        <v>7564</v>
      </c>
      <c r="L418" s="146" t="s">
        <v>7565</v>
      </c>
      <c r="M418" s="146" t="s">
        <v>7566</v>
      </c>
      <c r="N418" s="146" t="s">
        <v>7567</v>
      </c>
      <c r="O418" s="146" t="s">
        <v>7554</v>
      </c>
    </row>
    <row r="419" spans="1:15">
      <c r="A419" s="146" t="s">
        <v>7568</v>
      </c>
      <c r="B419" s="146" t="s">
        <v>7569</v>
      </c>
      <c r="C419" s="146" t="s">
        <v>7570</v>
      </c>
      <c r="D419" s="146" t="s">
        <v>7571</v>
      </c>
      <c r="E419" s="146" t="s">
        <v>7572</v>
      </c>
      <c r="F419" s="146" t="s">
        <v>7573</v>
      </c>
      <c r="G419" s="146" t="s">
        <v>7574</v>
      </c>
      <c r="H419" s="146" t="s">
        <v>7575</v>
      </c>
      <c r="I419" s="146" t="s">
        <v>7576</v>
      </c>
      <c r="J419" s="146" t="s">
        <v>7577</v>
      </c>
      <c r="K419" s="146" t="s">
        <v>7578</v>
      </c>
      <c r="L419" s="146" t="s">
        <v>7579</v>
      </c>
      <c r="M419" s="146" t="s">
        <v>7580</v>
      </c>
      <c r="N419" s="146" t="s">
        <v>7581</v>
      </c>
      <c r="O419" s="146" t="s">
        <v>7568</v>
      </c>
    </row>
    <row r="420" spans="1:15">
      <c r="A420" s="146" t="s">
        <v>7582</v>
      </c>
      <c r="B420" s="146" t="s">
        <v>7583</v>
      </c>
      <c r="C420" s="146" t="s">
        <v>7584</v>
      </c>
      <c r="D420" s="146" t="s">
        <v>7585</v>
      </c>
      <c r="E420" s="146" t="s">
        <v>7586</v>
      </c>
      <c r="F420" s="146" t="s">
        <v>7587</v>
      </c>
      <c r="G420" s="146" t="s">
        <v>7588</v>
      </c>
      <c r="H420" s="146" t="s">
        <v>7589</v>
      </c>
      <c r="I420" s="146" t="s">
        <v>7590</v>
      </c>
      <c r="J420" s="146" t="s">
        <v>7591</v>
      </c>
      <c r="K420" s="146" t="s">
        <v>7592</v>
      </c>
      <c r="L420" s="146" t="s">
        <v>7593</v>
      </c>
      <c r="M420" s="146" t="s">
        <v>7594</v>
      </c>
      <c r="N420" s="146" t="s">
        <v>7595</v>
      </c>
      <c r="O420" s="146" t="s">
        <v>7582</v>
      </c>
    </row>
    <row r="421" spans="1:15">
      <c r="A421" s="146" t="s">
        <v>7596</v>
      </c>
      <c r="B421" s="146" t="s">
        <v>7597</v>
      </c>
      <c r="C421" s="146" t="s">
        <v>7598</v>
      </c>
      <c r="D421" s="146" t="s">
        <v>7599</v>
      </c>
      <c r="E421" s="146" t="s">
        <v>7600</v>
      </c>
      <c r="F421" s="146" t="s">
        <v>7601</v>
      </c>
      <c r="G421" s="146" t="s">
        <v>7602</v>
      </c>
      <c r="H421" s="146" t="s">
        <v>7603</v>
      </c>
      <c r="I421" s="146" t="s">
        <v>7604</v>
      </c>
      <c r="J421" s="146" t="s">
        <v>7605</v>
      </c>
      <c r="K421" s="146" t="s">
        <v>7606</v>
      </c>
      <c r="L421" s="146" t="s">
        <v>7607</v>
      </c>
      <c r="M421" s="146" t="s">
        <v>7608</v>
      </c>
      <c r="N421" s="146" t="s">
        <v>7609</v>
      </c>
      <c r="O421" s="146" t="s">
        <v>7596</v>
      </c>
    </row>
    <row r="422" spans="1:15">
      <c r="A422" s="146" t="s">
        <v>7610</v>
      </c>
      <c r="B422" s="146" t="s">
        <v>7611</v>
      </c>
      <c r="C422" s="146" t="s">
        <v>7612</v>
      </c>
      <c r="D422" s="146" t="s">
        <v>7613</v>
      </c>
      <c r="E422" s="146" t="s">
        <v>7614</v>
      </c>
      <c r="F422" s="146" t="s">
        <v>7615</v>
      </c>
      <c r="G422" s="146" t="s">
        <v>7616</v>
      </c>
      <c r="H422" s="146" t="s">
        <v>7617</v>
      </c>
      <c r="I422" s="146" t="s">
        <v>7618</v>
      </c>
      <c r="J422" s="146" t="s">
        <v>7615</v>
      </c>
      <c r="K422" s="146" t="s">
        <v>7619</v>
      </c>
      <c r="L422" s="146" t="s">
        <v>7620</v>
      </c>
      <c r="M422" s="146" t="s">
        <v>7621</v>
      </c>
      <c r="N422" s="146" t="s">
        <v>7622</v>
      </c>
      <c r="O422" s="146" t="s">
        <v>7610</v>
      </c>
    </row>
    <row r="423" spans="1:15">
      <c r="A423" s="146" t="s">
        <v>7623</v>
      </c>
      <c r="B423" s="146" t="s">
        <v>7624</v>
      </c>
      <c r="C423" s="146" t="s">
        <v>7625</v>
      </c>
      <c r="D423" s="146" t="s">
        <v>7626</v>
      </c>
      <c r="E423" s="146" t="s">
        <v>7627</v>
      </c>
      <c r="F423" s="146" t="s">
        <v>3032</v>
      </c>
      <c r="G423" s="146" t="s">
        <v>7628</v>
      </c>
      <c r="H423" s="146" t="s">
        <v>7627</v>
      </c>
      <c r="I423" s="146" t="s">
        <v>7629</v>
      </c>
      <c r="J423" s="146" t="s">
        <v>3032</v>
      </c>
      <c r="K423" s="146" t="s">
        <v>7630</v>
      </c>
      <c r="L423" s="146" t="s">
        <v>7631</v>
      </c>
      <c r="M423" s="146" t="s">
        <v>7631</v>
      </c>
      <c r="N423" s="146" t="s">
        <v>3032</v>
      </c>
      <c r="O423" s="146" t="s">
        <v>7623</v>
      </c>
    </row>
    <row r="424" spans="1:15">
      <c r="A424" s="146" t="s">
        <v>7632</v>
      </c>
      <c r="B424" s="146" t="s">
        <v>7633</v>
      </c>
      <c r="C424" s="146" t="s">
        <v>7634</v>
      </c>
      <c r="D424" s="146" t="s">
        <v>7635</v>
      </c>
      <c r="E424" s="146" t="s">
        <v>7636</v>
      </c>
      <c r="F424" s="146" t="s">
        <v>7637</v>
      </c>
      <c r="G424" s="146" t="s">
        <v>7638</v>
      </c>
      <c r="H424" s="146" t="s">
        <v>7639</v>
      </c>
      <c r="I424" s="146" t="s">
        <v>7640</v>
      </c>
      <c r="J424" s="146" t="s">
        <v>7641</v>
      </c>
      <c r="K424" s="146" t="s">
        <v>7642</v>
      </c>
      <c r="L424" s="146" t="s">
        <v>7643</v>
      </c>
      <c r="M424" s="146" t="s">
        <v>7644</v>
      </c>
      <c r="N424" s="146" t="s">
        <v>7645</v>
      </c>
      <c r="O424" s="146" t="s">
        <v>7632</v>
      </c>
    </row>
    <row r="425" spans="1:15">
      <c r="A425" s="146" t="s">
        <v>7646</v>
      </c>
      <c r="B425" s="146" t="s">
        <v>7647</v>
      </c>
      <c r="C425" s="146" t="s">
        <v>7648</v>
      </c>
      <c r="D425" s="146" t="s">
        <v>7649</v>
      </c>
      <c r="E425" s="146" t="s">
        <v>7650</v>
      </c>
      <c r="F425" s="146" t="s">
        <v>7651</v>
      </c>
      <c r="G425" s="146" t="s">
        <v>7652</v>
      </c>
      <c r="H425" s="146" t="s">
        <v>7653</v>
      </c>
      <c r="I425" s="146" t="s">
        <v>7654</v>
      </c>
      <c r="J425" s="146" t="s">
        <v>7655</v>
      </c>
      <c r="K425" s="146" t="s">
        <v>7656</v>
      </c>
      <c r="L425" s="146" t="s">
        <v>7657</v>
      </c>
      <c r="M425" s="146" t="s">
        <v>7658</v>
      </c>
      <c r="N425" s="146" t="s">
        <v>7655</v>
      </c>
      <c r="O425" s="146" t="s">
        <v>7646</v>
      </c>
    </row>
    <row r="426" spans="1:15">
      <c r="A426" s="146" t="s">
        <v>7659</v>
      </c>
      <c r="B426" s="146" t="s">
        <v>7660</v>
      </c>
      <c r="C426" s="146" t="s">
        <v>7661</v>
      </c>
      <c r="D426" s="146" t="s">
        <v>7662</v>
      </c>
      <c r="E426" s="146" t="s">
        <v>7663</v>
      </c>
      <c r="F426" s="146" t="s">
        <v>7664</v>
      </c>
      <c r="G426" s="146" t="s">
        <v>7665</v>
      </c>
      <c r="H426" s="146" t="s">
        <v>7663</v>
      </c>
      <c r="I426" s="146" t="s">
        <v>7666</v>
      </c>
      <c r="J426" s="146" t="s">
        <v>7667</v>
      </c>
      <c r="K426" s="146" t="s">
        <v>7668</v>
      </c>
      <c r="L426" s="146" t="s">
        <v>7668</v>
      </c>
      <c r="M426" s="146" t="s">
        <v>7668</v>
      </c>
      <c r="N426" s="146" t="s">
        <v>7669</v>
      </c>
      <c r="O426" s="146" t="s">
        <v>7659</v>
      </c>
    </row>
    <row r="427" spans="1:15">
      <c r="A427" s="146" t="s">
        <v>7670</v>
      </c>
      <c r="B427" s="146" t="s">
        <v>7671</v>
      </c>
      <c r="C427" s="146" t="s">
        <v>7671</v>
      </c>
      <c r="D427" s="146" t="s">
        <v>7671</v>
      </c>
      <c r="E427" s="146" t="s">
        <v>7671</v>
      </c>
      <c r="F427" s="146" t="s">
        <v>7671</v>
      </c>
      <c r="G427" s="146" t="s">
        <v>7671</v>
      </c>
      <c r="H427" s="146" t="s">
        <v>7671</v>
      </c>
      <c r="I427" s="146" t="s">
        <v>7671</v>
      </c>
      <c r="J427" s="146" t="s">
        <v>7671</v>
      </c>
      <c r="K427" s="146" t="s">
        <v>7671</v>
      </c>
      <c r="L427" s="146" t="s">
        <v>7671</v>
      </c>
      <c r="M427" s="146" t="s">
        <v>7671</v>
      </c>
      <c r="N427" s="146" t="s">
        <v>7671</v>
      </c>
      <c r="O427" s="146" t="s">
        <v>7670</v>
      </c>
    </row>
    <row r="428" spans="1:15">
      <c r="A428" s="146" t="s">
        <v>7672</v>
      </c>
      <c r="B428" s="146" t="s">
        <v>7673</v>
      </c>
      <c r="C428" s="146" t="s">
        <v>7673</v>
      </c>
      <c r="D428" s="146" t="s">
        <v>7673</v>
      </c>
      <c r="E428" s="146" t="s">
        <v>7673</v>
      </c>
      <c r="F428" s="146" t="s">
        <v>7673</v>
      </c>
      <c r="G428" s="146" t="s">
        <v>7673</v>
      </c>
      <c r="H428" s="146" t="s">
        <v>7673</v>
      </c>
      <c r="I428" s="146" t="s">
        <v>7673</v>
      </c>
      <c r="J428" s="146" t="s">
        <v>7673</v>
      </c>
      <c r="K428" s="146" t="s">
        <v>7673</v>
      </c>
      <c r="L428" s="146" t="s">
        <v>7673</v>
      </c>
      <c r="M428" s="146" t="s">
        <v>7673</v>
      </c>
      <c r="N428" s="146" t="s">
        <v>7673</v>
      </c>
      <c r="O428" s="146" t="s">
        <v>7672</v>
      </c>
    </row>
    <row r="429" spans="1:15">
      <c r="A429" s="146" t="s">
        <v>7674</v>
      </c>
      <c r="B429" s="146" t="s">
        <v>7675</v>
      </c>
      <c r="C429" s="146" t="s">
        <v>7675</v>
      </c>
      <c r="D429" s="146" t="s">
        <v>3111</v>
      </c>
      <c r="E429" s="146" t="s">
        <v>7676</v>
      </c>
      <c r="F429" s="146" t="s">
        <v>7677</v>
      </c>
      <c r="G429" s="146" t="s">
        <v>7678</v>
      </c>
      <c r="H429" s="146" t="s">
        <v>7679</v>
      </c>
      <c r="I429" s="146" t="s">
        <v>7680</v>
      </c>
      <c r="J429" s="146" t="s">
        <v>7681</v>
      </c>
      <c r="K429" s="146" t="s">
        <v>7682</v>
      </c>
      <c r="L429" s="146" t="s">
        <v>7683</v>
      </c>
      <c r="M429" s="146" t="s">
        <v>7684</v>
      </c>
      <c r="N429" s="146" t="s">
        <v>7685</v>
      </c>
      <c r="O429" s="146" t="s">
        <v>7674</v>
      </c>
    </row>
    <row r="430" spans="1:15">
      <c r="A430" s="146" t="s">
        <v>1079</v>
      </c>
      <c r="B430" s="146" t="s">
        <v>7686</v>
      </c>
      <c r="C430" s="146" t="s">
        <v>7687</v>
      </c>
      <c r="D430" s="146" t="s">
        <v>7688</v>
      </c>
      <c r="E430" s="146" t="s">
        <v>7689</v>
      </c>
      <c r="F430" s="146" t="s">
        <v>7690</v>
      </c>
      <c r="G430" s="146" t="s">
        <v>7691</v>
      </c>
      <c r="H430" s="146" t="s">
        <v>7692</v>
      </c>
      <c r="I430" s="146" t="s">
        <v>7693</v>
      </c>
      <c r="J430" s="146" t="s">
        <v>7694</v>
      </c>
      <c r="K430" s="146" t="s">
        <v>7695</v>
      </c>
      <c r="L430" s="146" t="s">
        <v>7696</v>
      </c>
      <c r="M430" s="146" t="s">
        <v>7696</v>
      </c>
      <c r="N430" s="146" t="s">
        <v>7697</v>
      </c>
      <c r="O430" s="146" t="s">
        <v>1079</v>
      </c>
    </row>
    <row r="431" spans="1:15">
      <c r="A431" s="146" t="s">
        <v>7698</v>
      </c>
      <c r="B431" s="146" t="s">
        <v>7699</v>
      </c>
      <c r="C431" s="146" t="s">
        <v>7700</v>
      </c>
      <c r="D431" s="146" t="s">
        <v>7701</v>
      </c>
      <c r="E431" s="146" t="s">
        <v>7702</v>
      </c>
      <c r="F431" s="146" t="s">
        <v>7703</v>
      </c>
      <c r="G431" s="146" t="s">
        <v>7704</v>
      </c>
      <c r="H431" s="146" t="s">
        <v>7705</v>
      </c>
      <c r="I431" s="146" t="s">
        <v>7706</v>
      </c>
      <c r="J431" s="146" t="s">
        <v>7707</v>
      </c>
      <c r="K431" s="146" t="s">
        <v>7708</v>
      </c>
      <c r="L431" s="146" t="s">
        <v>7709</v>
      </c>
      <c r="M431" s="146" t="s">
        <v>7710</v>
      </c>
      <c r="N431" s="146" t="s">
        <v>7711</v>
      </c>
      <c r="O431" s="146" t="s">
        <v>7698</v>
      </c>
    </row>
    <row r="432" spans="1:15">
      <c r="A432" s="146" t="s">
        <v>2548</v>
      </c>
      <c r="B432" s="146" t="s">
        <v>7712</v>
      </c>
      <c r="C432" s="146" t="s">
        <v>7713</v>
      </c>
      <c r="D432" s="146" t="s">
        <v>7714</v>
      </c>
      <c r="E432" s="146" t="s">
        <v>7715</v>
      </c>
      <c r="F432" s="146" t="s">
        <v>7716</v>
      </c>
      <c r="G432" s="146" t="s">
        <v>7717</v>
      </c>
      <c r="H432" s="146" t="s">
        <v>6660</v>
      </c>
      <c r="I432" s="146" t="s">
        <v>7718</v>
      </c>
      <c r="J432" s="146" t="s">
        <v>7719</v>
      </c>
      <c r="K432" s="146" t="s">
        <v>7720</v>
      </c>
      <c r="L432" s="146" t="s">
        <v>7721</v>
      </c>
      <c r="M432" s="146" t="s">
        <v>7722</v>
      </c>
      <c r="N432" s="146" t="s">
        <v>7723</v>
      </c>
      <c r="O432" s="146" t="s">
        <v>2548</v>
      </c>
    </row>
    <row r="433" spans="1:15">
      <c r="A433" s="146" t="s">
        <v>4561</v>
      </c>
      <c r="B433" s="146" t="s">
        <v>7724</v>
      </c>
      <c r="C433" s="146" t="s">
        <v>7724</v>
      </c>
      <c r="D433" s="146" t="s">
        <v>7724</v>
      </c>
      <c r="E433" s="146" t="s">
        <v>7724</v>
      </c>
      <c r="F433" s="146" t="s">
        <v>7724</v>
      </c>
      <c r="G433" s="146" t="s">
        <v>7724</v>
      </c>
      <c r="H433" s="146" t="s">
        <v>7724</v>
      </c>
      <c r="I433" s="146" t="s">
        <v>7724</v>
      </c>
      <c r="J433" s="146" t="s">
        <v>7724</v>
      </c>
      <c r="K433" s="146" t="s">
        <v>7724</v>
      </c>
      <c r="L433" s="146" t="s">
        <v>7724</v>
      </c>
      <c r="M433" s="146" t="s">
        <v>7724</v>
      </c>
      <c r="N433" s="146" t="s">
        <v>7724</v>
      </c>
      <c r="O433" s="146" t="s">
        <v>4561</v>
      </c>
    </row>
    <row r="434" spans="1:15">
      <c r="A434" t="s">
        <v>7725</v>
      </c>
      <c r="B434" t="s">
        <v>7726</v>
      </c>
      <c r="C434" t="s">
        <v>7726</v>
      </c>
      <c r="D434" t="s">
        <v>7726</v>
      </c>
      <c r="E434" t="s">
        <v>7726</v>
      </c>
      <c r="F434" t="s">
        <v>7726</v>
      </c>
      <c r="G434" t="s">
        <v>7726</v>
      </c>
      <c r="H434" t="s">
        <v>7726</v>
      </c>
      <c r="I434" t="s">
        <v>7726</v>
      </c>
      <c r="J434" t="s">
        <v>7726</v>
      </c>
      <c r="K434" t="s">
        <v>7726</v>
      </c>
      <c r="L434" t="s">
        <v>7726</v>
      </c>
      <c r="M434" t="s">
        <v>7726</v>
      </c>
      <c r="N434" t="s">
        <v>7726</v>
      </c>
      <c r="O434" t="s">
        <v>7725</v>
      </c>
    </row>
    <row r="435" spans="1:15">
      <c r="A435" t="s">
        <v>7727</v>
      </c>
      <c r="B435" t="s">
        <v>7728</v>
      </c>
      <c r="C435" t="s">
        <v>7728</v>
      </c>
      <c r="D435" t="s">
        <v>7728</v>
      </c>
      <c r="E435" t="s">
        <v>7728</v>
      </c>
      <c r="F435" t="s">
        <v>7728</v>
      </c>
      <c r="G435" t="s">
        <v>7728</v>
      </c>
      <c r="H435" t="s">
        <v>7728</v>
      </c>
      <c r="I435" t="s">
        <v>7728</v>
      </c>
      <c r="J435" t="s">
        <v>7728</v>
      </c>
      <c r="K435" t="s">
        <v>7728</v>
      </c>
      <c r="L435" t="s">
        <v>7728</v>
      </c>
      <c r="M435" t="s">
        <v>7728</v>
      </c>
      <c r="N435" t="s">
        <v>7728</v>
      </c>
      <c r="O435" t="s">
        <v>7727</v>
      </c>
    </row>
    <row r="436" spans="1:15">
      <c r="A436" s="146" t="s">
        <v>7729</v>
      </c>
      <c r="B436" s="146" t="s">
        <v>7729</v>
      </c>
      <c r="C436" s="146" t="s">
        <v>7729</v>
      </c>
      <c r="D436" s="146" t="s">
        <v>7729</v>
      </c>
      <c r="E436" s="146" t="s">
        <v>7729</v>
      </c>
      <c r="F436" s="146" t="s">
        <v>7729</v>
      </c>
      <c r="G436" s="146" t="s">
        <v>7729</v>
      </c>
      <c r="H436" s="146" t="s">
        <v>7729</v>
      </c>
      <c r="I436" s="146" t="s">
        <v>7729</v>
      </c>
      <c r="J436" s="146" t="s">
        <v>7729</v>
      </c>
      <c r="K436" s="146" t="s">
        <v>7729</v>
      </c>
      <c r="L436" s="146" t="s">
        <v>7729</v>
      </c>
      <c r="M436" s="146" t="s">
        <v>7729</v>
      </c>
      <c r="N436" s="146" t="s">
        <v>7729</v>
      </c>
      <c r="O436" s="146" t="s">
        <v>7729</v>
      </c>
    </row>
    <row r="437" spans="1:15">
      <c r="A437" s="146" t="s">
        <v>7730</v>
      </c>
      <c r="B437" s="146" t="s">
        <v>7730</v>
      </c>
      <c r="C437" s="146" t="s">
        <v>7730</v>
      </c>
      <c r="D437" s="146" t="s">
        <v>7730</v>
      </c>
      <c r="E437" s="146" t="s">
        <v>7730</v>
      </c>
      <c r="F437" s="146" t="s">
        <v>7730</v>
      </c>
      <c r="G437" s="146" t="s">
        <v>7730</v>
      </c>
      <c r="H437" s="146" t="s">
        <v>7730</v>
      </c>
      <c r="I437" s="146" t="s">
        <v>7730</v>
      </c>
      <c r="J437" s="146" t="s">
        <v>7730</v>
      </c>
      <c r="K437" s="146" t="s">
        <v>7730</v>
      </c>
      <c r="L437" s="146" t="s">
        <v>7730</v>
      </c>
      <c r="M437" s="146" t="s">
        <v>7730</v>
      </c>
      <c r="N437" s="146" t="s">
        <v>7730</v>
      </c>
      <c r="O437" s="146" t="s">
        <v>7730</v>
      </c>
    </row>
    <row r="438" spans="1:15">
      <c r="A438" s="146" t="s">
        <v>7731</v>
      </c>
      <c r="B438" s="146" t="s">
        <v>7731</v>
      </c>
      <c r="C438" s="146" t="s">
        <v>7731</v>
      </c>
      <c r="D438" s="146" t="s">
        <v>7731</v>
      </c>
      <c r="E438" s="146" t="s">
        <v>7731</v>
      </c>
      <c r="F438" s="146" t="s">
        <v>7731</v>
      </c>
      <c r="G438" s="146" t="s">
        <v>7731</v>
      </c>
      <c r="H438" s="146" t="s">
        <v>7731</v>
      </c>
      <c r="I438" s="146" t="s">
        <v>7731</v>
      </c>
      <c r="J438" s="146" t="s">
        <v>7731</v>
      </c>
      <c r="K438" s="146" t="s">
        <v>7731</v>
      </c>
      <c r="L438" s="146" t="s">
        <v>7731</v>
      </c>
      <c r="M438" s="146" t="s">
        <v>7731</v>
      </c>
      <c r="N438" s="146" t="s">
        <v>7731</v>
      </c>
      <c r="O438" s="146" t="s">
        <v>7731</v>
      </c>
    </row>
    <row r="439" spans="1:15">
      <c r="A439" s="146" t="s">
        <v>7732</v>
      </c>
      <c r="B439" s="146" t="s">
        <v>7732</v>
      </c>
      <c r="C439" s="146" t="s">
        <v>7732</v>
      </c>
      <c r="D439" s="146" t="s">
        <v>7732</v>
      </c>
      <c r="E439" s="146" t="s">
        <v>7732</v>
      </c>
      <c r="F439" s="146" t="s">
        <v>7732</v>
      </c>
      <c r="G439" s="146" t="s">
        <v>7732</v>
      </c>
      <c r="H439" s="146" t="s">
        <v>7732</v>
      </c>
      <c r="I439" s="146" t="s">
        <v>7732</v>
      </c>
      <c r="J439" s="146" t="s">
        <v>7732</v>
      </c>
      <c r="K439" s="146" t="s">
        <v>7732</v>
      </c>
      <c r="L439" s="146" t="s">
        <v>7732</v>
      </c>
      <c r="M439" s="146" t="s">
        <v>7732</v>
      </c>
      <c r="N439" s="146" t="s">
        <v>7732</v>
      </c>
      <c r="O439" s="146" t="s">
        <v>7732</v>
      </c>
    </row>
    <row r="440" spans="1:15">
      <c r="A440" s="146" t="s">
        <v>7733</v>
      </c>
      <c r="B440" s="146" t="s">
        <v>7733</v>
      </c>
      <c r="C440" s="146" t="s">
        <v>7733</v>
      </c>
      <c r="D440" s="146" t="s">
        <v>7733</v>
      </c>
      <c r="E440" s="146" t="s">
        <v>7733</v>
      </c>
      <c r="F440" s="146" t="s">
        <v>7733</v>
      </c>
      <c r="G440" s="146" t="s">
        <v>7733</v>
      </c>
      <c r="H440" s="146" t="s">
        <v>7733</v>
      </c>
      <c r="I440" s="146" t="s">
        <v>7733</v>
      </c>
      <c r="J440" s="146" t="s">
        <v>7733</v>
      </c>
      <c r="K440" s="146" t="s">
        <v>7733</v>
      </c>
      <c r="L440" s="146" t="s">
        <v>7733</v>
      </c>
      <c r="M440" s="146" t="s">
        <v>7733</v>
      </c>
      <c r="N440" s="146" t="s">
        <v>7733</v>
      </c>
      <c r="O440" s="146" t="s">
        <v>7733</v>
      </c>
    </row>
    <row r="441" spans="1:15">
      <c r="A441" s="146" t="s">
        <v>7734</v>
      </c>
      <c r="B441" s="146" t="s">
        <v>7734</v>
      </c>
      <c r="C441" s="146" t="s">
        <v>7734</v>
      </c>
      <c r="D441" s="146" t="s">
        <v>7734</v>
      </c>
      <c r="E441" s="146" t="s">
        <v>7734</v>
      </c>
      <c r="F441" s="146" t="s">
        <v>7734</v>
      </c>
      <c r="G441" s="146" t="s">
        <v>7734</v>
      </c>
      <c r="H441" s="146" t="s">
        <v>7734</v>
      </c>
      <c r="I441" s="146" t="s">
        <v>7734</v>
      </c>
      <c r="J441" s="146" t="s">
        <v>7734</v>
      </c>
      <c r="K441" s="146" t="s">
        <v>7734</v>
      </c>
      <c r="L441" s="146" t="s">
        <v>7734</v>
      </c>
      <c r="M441" s="146" t="s">
        <v>7734</v>
      </c>
      <c r="N441" s="146" t="s">
        <v>7734</v>
      </c>
      <c r="O441" s="146" t="s">
        <v>7734</v>
      </c>
    </row>
    <row r="442" spans="1:15">
      <c r="A442" s="146" t="s">
        <v>7735</v>
      </c>
      <c r="B442" s="146" t="s">
        <v>7735</v>
      </c>
      <c r="C442" s="146" t="s">
        <v>7735</v>
      </c>
      <c r="D442" s="146" t="s">
        <v>7735</v>
      </c>
      <c r="E442" s="146" t="s">
        <v>7735</v>
      </c>
      <c r="F442" s="146" t="s">
        <v>7735</v>
      </c>
      <c r="G442" s="146" t="s">
        <v>7735</v>
      </c>
      <c r="H442" s="146" t="s">
        <v>7735</v>
      </c>
      <c r="I442" s="146" t="s">
        <v>7735</v>
      </c>
      <c r="J442" s="146" t="s">
        <v>7735</v>
      </c>
      <c r="K442" s="146" t="s">
        <v>7735</v>
      </c>
      <c r="L442" s="146" t="s">
        <v>7735</v>
      </c>
      <c r="M442" s="146" t="s">
        <v>7735</v>
      </c>
      <c r="N442" s="146" t="s">
        <v>7735</v>
      </c>
      <c r="O442" s="146" t="s">
        <v>7735</v>
      </c>
    </row>
    <row r="443" spans="1:15">
      <c r="A443" s="146" t="s">
        <v>7736</v>
      </c>
      <c r="B443" s="146" t="s">
        <v>7736</v>
      </c>
      <c r="C443" s="146" t="s">
        <v>7736</v>
      </c>
      <c r="D443" s="146" t="s">
        <v>7736</v>
      </c>
      <c r="E443" s="146" t="s">
        <v>7736</v>
      </c>
      <c r="F443" s="146" t="s">
        <v>7736</v>
      </c>
      <c r="G443" s="146" t="s">
        <v>7736</v>
      </c>
      <c r="H443" s="146" t="s">
        <v>7736</v>
      </c>
      <c r="I443" s="146" t="s">
        <v>7736</v>
      </c>
      <c r="J443" s="146" t="s">
        <v>7736</v>
      </c>
      <c r="K443" s="146" t="s">
        <v>7736</v>
      </c>
      <c r="L443" s="146" t="s">
        <v>7736</v>
      </c>
      <c r="M443" s="146" t="s">
        <v>7736</v>
      </c>
      <c r="N443" s="146" t="s">
        <v>7736</v>
      </c>
      <c r="O443" s="146" t="s">
        <v>7736</v>
      </c>
    </row>
    <row r="444" spans="1:15">
      <c r="A444" s="146" t="s">
        <v>7737</v>
      </c>
      <c r="B444" s="146" t="s">
        <v>7737</v>
      </c>
      <c r="C444" s="146" t="s">
        <v>7737</v>
      </c>
      <c r="D444" s="146" t="s">
        <v>7737</v>
      </c>
      <c r="E444" s="146" t="s">
        <v>7737</v>
      </c>
      <c r="F444" s="146" t="s">
        <v>7737</v>
      </c>
      <c r="G444" s="146" t="s">
        <v>7737</v>
      </c>
      <c r="H444" s="146" t="s">
        <v>7737</v>
      </c>
      <c r="I444" s="146" t="s">
        <v>7737</v>
      </c>
      <c r="J444" s="146" t="s">
        <v>7737</v>
      </c>
      <c r="K444" s="146" t="s">
        <v>7737</v>
      </c>
      <c r="L444" s="146" t="s">
        <v>7737</v>
      </c>
      <c r="M444" s="146" t="s">
        <v>7737</v>
      </c>
      <c r="N444" s="146" t="s">
        <v>7737</v>
      </c>
      <c r="O444" s="146" t="s">
        <v>7737</v>
      </c>
    </row>
    <row r="445" spans="1:15">
      <c r="A445" s="146" t="s">
        <v>7738</v>
      </c>
      <c r="B445" s="146" t="s">
        <v>7738</v>
      </c>
      <c r="C445" s="146" t="s">
        <v>7738</v>
      </c>
      <c r="D445" s="146" t="s">
        <v>7738</v>
      </c>
      <c r="E445" s="146" t="s">
        <v>7738</v>
      </c>
      <c r="F445" s="146" t="s">
        <v>7738</v>
      </c>
      <c r="G445" s="146" t="s">
        <v>7738</v>
      </c>
      <c r="H445" s="146" t="s">
        <v>7738</v>
      </c>
      <c r="I445" s="146" t="s">
        <v>7738</v>
      </c>
      <c r="J445" s="146" t="s">
        <v>7738</v>
      </c>
      <c r="K445" s="146" t="s">
        <v>7738</v>
      </c>
      <c r="L445" s="146" t="s">
        <v>7738</v>
      </c>
      <c r="M445" s="146" t="s">
        <v>7738</v>
      </c>
      <c r="N445" s="146" t="s">
        <v>7738</v>
      </c>
      <c r="O445" s="146" t="s">
        <v>7738</v>
      </c>
    </row>
    <row r="446" spans="1:15">
      <c r="A446" s="146" t="s">
        <v>7739</v>
      </c>
      <c r="B446" s="146" t="s">
        <v>7739</v>
      </c>
      <c r="C446" s="146" t="s">
        <v>7739</v>
      </c>
      <c r="D446" s="146" t="s">
        <v>7739</v>
      </c>
      <c r="E446" s="146" t="s">
        <v>7739</v>
      </c>
      <c r="F446" s="146" t="s">
        <v>7739</v>
      </c>
      <c r="G446" s="146" t="s">
        <v>7739</v>
      </c>
      <c r="H446" s="146" t="s">
        <v>7739</v>
      </c>
      <c r="I446" s="146" t="s">
        <v>7739</v>
      </c>
      <c r="J446" s="146" t="s">
        <v>7739</v>
      </c>
      <c r="K446" s="146" t="s">
        <v>7739</v>
      </c>
      <c r="L446" s="146" t="s">
        <v>7739</v>
      </c>
      <c r="M446" s="146" t="s">
        <v>7739</v>
      </c>
      <c r="N446" s="146" t="s">
        <v>7739</v>
      </c>
      <c r="O446" s="146" t="s">
        <v>7739</v>
      </c>
    </row>
    <row r="447" spans="1:15">
      <c r="A447" s="146" t="s">
        <v>7740</v>
      </c>
      <c r="B447" s="146" t="s">
        <v>7740</v>
      </c>
      <c r="C447" s="146" t="s">
        <v>7740</v>
      </c>
      <c r="D447" s="146" t="s">
        <v>7740</v>
      </c>
      <c r="E447" s="146" t="s">
        <v>7740</v>
      </c>
      <c r="F447" s="146" t="s">
        <v>7740</v>
      </c>
      <c r="G447" s="146" t="s">
        <v>7740</v>
      </c>
      <c r="H447" s="146" t="s">
        <v>7740</v>
      </c>
      <c r="I447" s="146" t="s">
        <v>7740</v>
      </c>
      <c r="J447" s="146" t="s">
        <v>7740</v>
      </c>
      <c r="K447" s="146" t="s">
        <v>7740</v>
      </c>
      <c r="L447" s="146" t="s">
        <v>7740</v>
      </c>
      <c r="M447" s="146" t="s">
        <v>7740</v>
      </c>
      <c r="N447" s="146" t="s">
        <v>7740</v>
      </c>
      <c r="O447" s="146" t="s">
        <v>7740</v>
      </c>
    </row>
    <row r="448" spans="1:15">
      <c r="A448" s="146" t="s">
        <v>7741</v>
      </c>
      <c r="B448" s="146" t="s">
        <v>7741</v>
      </c>
      <c r="C448" s="146" t="s">
        <v>7741</v>
      </c>
      <c r="D448" s="146" t="s">
        <v>7741</v>
      </c>
      <c r="E448" s="146" t="s">
        <v>7741</v>
      </c>
      <c r="F448" s="146" t="s">
        <v>7741</v>
      </c>
      <c r="G448" s="146" t="s">
        <v>7741</v>
      </c>
      <c r="H448" s="146" t="s">
        <v>7741</v>
      </c>
      <c r="I448" s="146" t="s">
        <v>7741</v>
      </c>
      <c r="J448" s="146" t="s">
        <v>7741</v>
      </c>
      <c r="K448" s="146" t="s">
        <v>7741</v>
      </c>
      <c r="L448" s="146" t="s">
        <v>7741</v>
      </c>
      <c r="M448" s="146" t="s">
        <v>7741</v>
      </c>
      <c r="N448" s="146" t="s">
        <v>7741</v>
      </c>
      <c r="O448" s="146" t="s">
        <v>7741</v>
      </c>
    </row>
    <row r="449" spans="1:15">
      <c r="A449" s="146" t="s">
        <v>7742</v>
      </c>
      <c r="B449" s="146" t="s">
        <v>7742</v>
      </c>
      <c r="C449" s="146" t="s">
        <v>7742</v>
      </c>
      <c r="D449" s="146" t="s">
        <v>7742</v>
      </c>
      <c r="E449" s="146" t="s">
        <v>7742</v>
      </c>
      <c r="F449" s="146" t="s">
        <v>7742</v>
      </c>
      <c r="G449" s="146" t="s">
        <v>7742</v>
      </c>
      <c r="H449" s="146" t="s">
        <v>7742</v>
      </c>
      <c r="I449" s="146" t="s">
        <v>7742</v>
      </c>
      <c r="J449" s="146" t="s">
        <v>7742</v>
      </c>
      <c r="K449" s="146" t="s">
        <v>7742</v>
      </c>
      <c r="L449" s="146" t="s">
        <v>7742</v>
      </c>
      <c r="M449" s="146" t="s">
        <v>7742</v>
      </c>
      <c r="N449" s="146" t="s">
        <v>7742</v>
      </c>
      <c r="O449" s="146" t="s">
        <v>7742</v>
      </c>
    </row>
    <row r="450" spans="1:15">
      <c r="A450" s="146" t="s">
        <v>7743</v>
      </c>
      <c r="B450" s="146" t="s">
        <v>7743</v>
      </c>
      <c r="C450" s="146" t="s">
        <v>7743</v>
      </c>
      <c r="D450" s="146" t="s">
        <v>7743</v>
      </c>
      <c r="E450" s="146" t="s">
        <v>7743</v>
      </c>
      <c r="F450" s="146" t="s">
        <v>7743</v>
      </c>
      <c r="G450" s="146" t="s">
        <v>7743</v>
      </c>
      <c r="H450" s="146" t="s">
        <v>7743</v>
      </c>
      <c r="I450" s="146" t="s">
        <v>7743</v>
      </c>
      <c r="J450" s="146" t="s">
        <v>7743</v>
      </c>
      <c r="K450" s="146" t="s">
        <v>7743</v>
      </c>
      <c r="L450" s="146" t="s">
        <v>7743</v>
      </c>
      <c r="M450" s="146" t="s">
        <v>7743</v>
      </c>
      <c r="N450" s="146" t="s">
        <v>7743</v>
      </c>
      <c r="O450" s="146" t="s">
        <v>7743</v>
      </c>
    </row>
    <row r="451" spans="1:15">
      <c r="A451" s="146" t="s">
        <v>7744</v>
      </c>
      <c r="B451" s="146" t="s">
        <v>7744</v>
      </c>
      <c r="C451" s="146" t="s">
        <v>7744</v>
      </c>
      <c r="D451" s="146" t="s">
        <v>7744</v>
      </c>
      <c r="E451" s="146" t="s">
        <v>7744</v>
      </c>
      <c r="F451" s="146" t="s">
        <v>7744</v>
      </c>
      <c r="G451" s="146" t="s">
        <v>7744</v>
      </c>
      <c r="H451" s="146" t="s">
        <v>7744</v>
      </c>
      <c r="I451" s="146" t="s">
        <v>7744</v>
      </c>
      <c r="J451" s="146" t="s">
        <v>7744</v>
      </c>
      <c r="K451" s="146" t="s">
        <v>7744</v>
      </c>
      <c r="L451" s="146" t="s">
        <v>7744</v>
      </c>
      <c r="M451" s="146" t="s">
        <v>7744</v>
      </c>
      <c r="N451" s="146" t="s">
        <v>7744</v>
      </c>
      <c r="O451" s="146" t="s">
        <v>7744</v>
      </c>
    </row>
    <row r="452" spans="1:15">
      <c r="A452" s="146" t="s">
        <v>7745</v>
      </c>
      <c r="B452" s="146" t="s">
        <v>7745</v>
      </c>
      <c r="C452" s="146" t="s">
        <v>7745</v>
      </c>
      <c r="D452" s="146" t="s">
        <v>7745</v>
      </c>
      <c r="E452" s="146" t="s">
        <v>7745</v>
      </c>
      <c r="F452" s="146" t="s">
        <v>7745</v>
      </c>
      <c r="G452" s="146" t="s">
        <v>7745</v>
      </c>
      <c r="H452" s="146" t="s">
        <v>7745</v>
      </c>
      <c r="I452" s="146" t="s">
        <v>7745</v>
      </c>
      <c r="J452" s="146" t="s">
        <v>7745</v>
      </c>
      <c r="K452" s="146" t="s">
        <v>7745</v>
      </c>
      <c r="L452" s="146" t="s">
        <v>7745</v>
      </c>
      <c r="M452" s="146" t="s">
        <v>7745</v>
      </c>
      <c r="N452" s="146" t="s">
        <v>7745</v>
      </c>
      <c r="O452" s="146" t="s">
        <v>7745</v>
      </c>
    </row>
    <row r="453" spans="1:15">
      <c r="A453" s="146" t="s">
        <v>7746</v>
      </c>
      <c r="B453" s="146" t="s">
        <v>7746</v>
      </c>
      <c r="C453" s="146" t="s">
        <v>7746</v>
      </c>
      <c r="D453" s="146" t="s">
        <v>7746</v>
      </c>
      <c r="E453" s="146" t="s">
        <v>7746</v>
      </c>
      <c r="F453" s="146" t="s">
        <v>7746</v>
      </c>
      <c r="G453" s="146" t="s">
        <v>7746</v>
      </c>
      <c r="H453" s="146" t="s">
        <v>7746</v>
      </c>
      <c r="I453" s="146" t="s">
        <v>7746</v>
      </c>
      <c r="J453" s="146" t="s">
        <v>7746</v>
      </c>
      <c r="K453" s="146" t="s">
        <v>7746</v>
      </c>
      <c r="L453" s="146" t="s">
        <v>7746</v>
      </c>
      <c r="M453" s="146" t="s">
        <v>7746</v>
      </c>
      <c r="N453" s="146" t="s">
        <v>7746</v>
      </c>
      <c r="O453" s="146" t="s">
        <v>7746</v>
      </c>
    </row>
    <row r="454" spans="1:15">
      <c r="A454" s="146" t="s">
        <v>7747</v>
      </c>
      <c r="B454" s="146" t="s">
        <v>7747</v>
      </c>
      <c r="C454" s="146" t="s">
        <v>7747</v>
      </c>
      <c r="D454" s="146" t="s">
        <v>7747</v>
      </c>
      <c r="E454" s="146" t="s">
        <v>7747</v>
      </c>
      <c r="F454" s="146" t="s">
        <v>7747</v>
      </c>
      <c r="G454" s="146" t="s">
        <v>7747</v>
      </c>
      <c r="H454" s="146" t="s">
        <v>7747</v>
      </c>
      <c r="I454" s="146" t="s">
        <v>7747</v>
      </c>
      <c r="J454" s="146" t="s">
        <v>7747</v>
      </c>
      <c r="K454" s="146" t="s">
        <v>7747</v>
      </c>
      <c r="L454" s="146" t="s">
        <v>7747</v>
      </c>
      <c r="M454" s="146" t="s">
        <v>7747</v>
      </c>
      <c r="N454" s="146" t="s">
        <v>7747</v>
      </c>
      <c r="O454" s="146" t="s">
        <v>7747</v>
      </c>
    </row>
    <row r="455" spans="1:15">
      <c r="A455" s="146" t="s">
        <v>7748</v>
      </c>
      <c r="B455" s="146" t="s">
        <v>7748</v>
      </c>
      <c r="C455" s="146" t="s">
        <v>7748</v>
      </c>
      <c r="D455" s="146" t="s">
        <v>7748</v>
      </c>
      <c r="E455" s="146" t="s">
        <v>7748</v>
      </c>
      <c r="F455" s="146" t="s">
        <v>7748</v>
      </c>
      <c r="G455" s="146" t="s">
        <v>7748</v>
      </c>
      <c r="H455" s="146" t="s">
        <v>7748</v>
      </c>
      <c r="I455" s="146" t="s">
        <v>7748</v>
      </c>
      <c r="J455" s="146" t="s">
        <v>7748</v>
      </c>
      <c r="K455" s="146" t="s">
        <v>7748</v>
      </c>
      <c r="L455" s="146" t="s">
        <v>7748</v>
      </c>
      <c r="M455" s="146" t="s">
        <v>7748</v>
      </c>
      <c r="N455" s="146" t="s">
        <v>7748</v>
      </c>
      <c r="O455" s="146" t="s">
        <v>7748</v>
      </c>
    </row>
    <row r="456" spans="1:15">
      <c r="A456" s="146" t="s">
        <v>7749</v>
      </c>
      <c r="B456" s="146" t="s">
        <v>7749</v>
      </c>
      <c r="C456" s="146" t="s">
        <v>7749</v>
      </c>
      <c r="D456" s="146" t="s">
        <v>7749</v>
      </c>
      <c r="E456" s="146" t="s">
        <v>7749</v>
      </c>
      <c r="F456" s="146" t="s">
        <v>7749</v>
      </c>
      <c r="G456" s="146" t="s">
        <v>7749</v>
      </c>
      <c r="H456" s="146" t="s">
        <v>7749</v>
      </c>
      <c r="I456" s="146" t="s">
        <v>7749</v>
      </c>
      <c r="J456" s="146" t="s">
        <v>7749</v>
      </c>
      <c r="K456" s="146" t="s">
        <v>7749</v>
      </c>
      <c r="L456" s="146" t="s">
        <v>7749</v>
      </c>
      <c r="M456" s="146" t="s">
        <v>7749</v>
      </c>
      <c r="N456" s="146" t="s">
        <v>7749</v>
      </c>
      <c r="O456" s="146" t="s">
        <v>7749</v>
      </c>
    </row>
    <row r="457" spans="1:15">
      <c r="A457" s="146" t="s">
        <v>7750</v>
      </c>
      <c r="B457" s="146" t="s">
        <v>7750</v>
      </c>
      <c r="C457" s="146" t="s">
        <v>7750</v>
      </c>
      <c r="D457" s="146" t="s">
        <v>7750</v>
      </c>
      <c r="E457" s="146" t="s">
        <v>7750</v>
      </c>
      <c r="F457" s="146" t="s">
        <v>7750</v>
      </c>
      <c r="G457" s="146" t="s">
        <v>7750</v>
      </c>
      <c r="H457" s="146" t="s">
        <v>7750</v>
      </c>
      <c r="I457" s="146" t="s">
        <v>7750</v>
      </c>
      <c r="J457" s="146" t="s">
        <v>7750</v>
      </c>
      <c r="K457" s="146" t="s">
        <v>7750</v>
      </c>
      <c r="L457" s="146" t="s">
        <v>7750</v>
      </c>
      <c r="M457" s="146" t="s">
        <v>7750</v>
      </c>
      <c r="N457" s="146" t="s">
        <v>7750</v>
      </c>
      <c r="O457" s="146" t="s">
        <v>7750</v>
      </c>
    </row>
    <row r="458" spans="1:15">
      <c r="A458" s="146" t="s">
        <v>7751</v>
      </c>
      <c r="B458" s="146" t="s">
        <v>7751</v>
      </c>
      <c r="C458" s="146" t="s">
        <v>7751</v>
      </c>
      <c r="D458" s="146" t="s">
        <v>7751</v>
      </c>
      <c r="E458" s="146" t="s">
        <v>7751</v>
      </c>
      <c r="F458" s="146" t="s">
        <v>7751</v>
      </c>
      <c r="G458" s="146" t="s">
        <v>7751</v>
      </c>
      <c r="H458" s="146" t="s">
        <v>7751</v>
      </c>
      <c r="I458" s="146" t="s">
        <v>7751</v>
      </c>
      <c r="J458" s="146" t="s">
        <v>7751</v>
      </c>
      <c r="K458" s="146" t="s">
        <v>7751</v>
      </c>
      <c r="L458" s="146" t="s">
        <v>7751</v>
      </c>
      <c r="M458" s="146" t="s">
        <v>7751</v>
      </c>
      <c r="N458" s="146" t="s">
        <v>7751</v>
      </c>
      <c r="O458" s="146" t="s">
        <v>7751</v>
      </c>
    </row>
    <row r="459" spans="1:15">
      <c r="A459" s="146" t="s">
        <v>7752</v>
      </c>
      <c r="B459" s="146" t="s">
        <v>7752</v>
      </c>
      <c r="C459" s="146" t="s">
        <v>7752</v>
      </c>
      <c r="D459" s="146" t="s">
        <v>7752</v>
      </c>
      <c r="E459" s="146" t="s">
        <v>7752</v>
      </c>
      <c r="F459" s="146" t="s">
        <v>7752</v>
      </c>
      <c r="G459" s="146" t="s">
        <v>7752</v>
      </c>
      <c r="H459" s="146" t="s">
        <v>7752</v>
      </c>
      <c r="I459" s="146" t="s">
        <v>7752</v>
      </c>
      <c r="J459" s="146" t="s">
        <v>7752</v>
      </c>
      <c r="K459" s="146" t="s">
        <v>7752</v>
      </c>
      <c r="L459" s="146" t="s">
        <v>7752</v>
      </c>
      <c r="M459" s="146" t="s">
        <v>7752</v>
      </c>
      <c r="N459" s="146" t="s">
        <v>7752</v>
      </c>
      <c r="O459" s="146" t="s">
        <v>7752</v>
      </c>
    </row>
    <row r="460" spans="1:15">
      <c r="A460" s="146" t="s">
        <v>7753</v>
      </c>
      <c r="B460" s="146" t="s">
        <v>7753</v>
      </c>
      <c r="C460" s="146" t="s">
        <v>7753</v>
      </c>
      <c r="D460" s="146" t="s">
        <v>7753</v>
      </c>
      <c r="E460" s="146" t="s">
        <v>7753</v>
      </c>
      <c r="F460" s="146" t="s">
        <v>7753</v>
      </c>
      <c r="G460" s="146" t="s">
        <v>7753</v>
      </c>
      <c r="H460" s="146" t="s">
        <v>7753</v>
      </c>
      <c r="I460" s="146" t="s">
        <v>7753</v>
      </c>
      <c r="J460" s="146" t="s">
        <v>7753</v>
      </c>
      <c r="K460" s="146" t="s">
        <v>7753</v>
      </c>
      <c r="L460" s="146" t="s">
        <v>7753</v>
      </c>
      <c r="M460" s="146" t="s">
        <v>7753</v>
      </c>
      <c r="N460" s="146" t="s">
        <v>7753</v>
      </c>
      <c r="O460" s="146" t="s">
        <v>7753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outlinePr summaryBelow="0" summaryRight="0"/>
  </sheetPr>
  <dimension ref="A1:QR118"/>
  <sheetViews>
    <sheetView showGridLines="0" showZeros="0" zoomScaleNormal="10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194" hidden="1" customWidth="1"/>
    <col min="16" max="16" width="27.6640625" style="9" hidden="1" customWidth="1"/>
    <col min="17" max="17" width="26.88671875" style="1" hidden="1" customWidth="1"/>
    <col min="18" max="18" width="5.6640625" style="1" hidden="1" customWidth="1"/>
    <col min="19" max="19" width="1.33203125" style="1" hidden="1" customWidth="1"/>
    <col min="20" max="20" width="13.88671875" style="1" hidden="1" customWidth="1"/>
    <col min="21" max="21" width="12.44140625" style="1" hidden="1" customWidth="1"/>
    <col min="22" max="22" width="12.88671875" style="1" hidden="1" customWidth="1"/>
    <col min="23" max="23" width="11" style="1" hidden="1" customWidth="1"/>
    <col min="24" max="24" width="14.44140625" style="1" hidden="1" customWidth="1"/>
    <col min="25" max="25" width="13.6640625" style="1" hidden="1" customWidth="1"/>
    <col min="26" max="26" width="15.44140625" style="1" hidden="1" customWidth="1"/>
    <col min="27" max="187" width="12.44140625" style="1" hidden="1" customWidth="1"/>
    <col min="188" max="460" width="11.6640625" style="1" hidden="1" customWidth="1"/>
    <col min="461" max="16384" width="1.332031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VLOOKUP("DACHPLATTE",Sprachindex!A:Z,Info!$O$6,FALSE)</f>
        <v>DACHPLATTE</v>
      </c>
    </row>
    <row r="3" spans="1:17" ht="15" customHeight="1">
      <c r="F3" s="86"/>
      <c r="G3" s="86"/>
      <c r="H3" s="86"/>
      <c r="I3" s="86"/>
      <c r="J3" s="86"/>
      <c r="K3" s="86"/>
      <c r="L3" s="86"/>
      <c r="M3" s="86"/>
      <c r="N3" s="87"/>
    </row>
    <row r="4" spans="1:17" ht="17.399999999999999">
      <c r="F4" s="86"/>
      <c r="G4" s="86"/>
      <c r="H4" s="86"/>
      <c r="I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7" ht="17.399999999999999">
      <c r="F5" s="86"/>
      <c r="G5" s="86"/>
      <c r="H5" s="86"/>
      <c r="I5" s="86"/>
      <c r="J5" s="107" t="str">
        <f>VLOOKUP("ODER EMAIL:",Sprachindex!A:Z,Info!$O$6,FALSE)</f>
        <v>ODER EMAIL:</v>
      </c>
      <c r="K5" s="254"/>
      <c r="L5" s="255"/>
      <c r="M5" s="256"/>
      <c r="N5" s="87"/>
      <c r="P5" s="5"/>
      <c r="Q5" s="3"/>
    </row>
    <row r="6" spans="1:17" ht="17.399999999999999">
      <c r="F6" s="86"/>
      <c r="G6" s="86"/>
      <c r="H6" s="86"/>
      <c r="I6" s="86"/>
      <c r="J6" s="107" t="str">
        <f>VLOOKUP("Datum:",Sprachindex!A:Z,Info!$O$6,FALSE)</f>
        <v>Datum:</v>
      </c>
      <c r="K6" s="254"/>
      <c r="L6" s="255"/>
      <c r="M6" s="256"/>
      <c r="N6" s="119"/>
      <c r="P6" s="5"/>
      <c r="Q6" s="3"/>
    </row>
    <row r="7" spans="1:17" ht="17.399999999999999">
      <c r="F7" s="86"/>
      <c r="G7" s="86"/>
      <c r="H7" s="86"/>
      <c r="I7" s="86"/>
      <c r="J7" s="107" t="str">
        <f>VLOOKUP("Bestellnummer:",Sprachindex!A:Z,Info!$O$6,FALSE)</f>
        <v>Bestellnummer:</v>
      </c>
      <c r="K7" s="254"/>
      <c r="L7" s="255"/>
      <c r="M7" s="256"/>
      <c r="N7" s="119"/>
      <c r="P7" s="5"/>
      <c r="Q7" s="5"/>
    </row>
    <row r="8" spans="1:17" s="5" customFormat="1" ht="17.399999999999999">
      <c r="A8" s="106" t="str">
        <f>VLOOKUP("Firma / Besteller:",Sprachindex!A:Z,Info!$O$6,FALSE)</f>
        <v>Firma / Besteller:</v>
      </c>
      <c r="B8" s="1"/>
      <c r="C8" s="1"/>
      <c r="D8" s="1"/>
      <c r="E8" s="1"/>
      <c r="F8" s="86"/>
      <c r="G8" s="86"/>
      <c r="H8" s="86"/>
      <c r="I8" s="86"/>
      <c r="J8" s="86"/>
      <c r="K8" s="86"/>
      <c r="L8" s="86"/>
      <c r="M8" s="86"/>
      <c r="N8" s="87"/>
      <c r="O8" s="194"/>
    </row>
    <row r="9" spans="1:17" s="5" customFormat="1" ht="15" customHeight="1">
      <c r="A9" s="1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M9" s="86"/>
      <c r="N9" s="119"/>
      <c r="O9" s="215"/>
    </row>
    <row r="10" spans="1:17" s="5" customFormat="1" ht="15" customHeight="1">
      <c r="A10" s="1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O10" s="194"/>
    </row>
    <row r="11" spans="1:17" s="5" customFormat="1" ht="15" customHeight="1">
      <c r="A11" s="1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215"/>
    </row>
    <row r="12" spans="1:17" s="5" customFormat="1" ht="15" customHeight="1">
      <c r="A12" s="1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  <c r="O12" s="194"/>
    </row>
    <row r="13" spans="1:17" s="5" customFormat="1" ht="15" customHeight="1">
      <c r="A13" s="1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216"/>
    </row>
    <row r="14" spans="1:17" s="5" customFormat="1" ht="15" customHeight="1">
      <c r="A14" s="1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O14" s="194"/>
    </row>
    <row r="15" spans="1:17" s="5" customFormat="1" ht="15" customHeight="1">
      <c r="A15" s="1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N15" s="87"/>
      <c r="O15" s="194"/>
      <c r="P15" s="194"/>
    </row>
    <row r="16" spans="1:17" s="5" customFormat="1" ht="15" customHeight="1">
      <c r="A16" s="1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  <c r="M16" s="86"/>
      <c r="N16" s="87"/>
      <c r="O16" s="194"/>
      <c r="P16" s="171"/>
    </row>
    <row r="17" spans="1:178" s="5" customFormat="1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M17" s="86"/>
      <c r="N17" s="87"/>
      <c r="O17" s="194"/>
      <c r="P17" s="57"/>
    </row>
    <row r="18" spans="1:178" s="5" customFormat="1" ht="15" customHeight="1">
      <c r="A18" s="1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M18" s="86"/>
      <c r="N18" s="114"/>
      <c r="O18" s="194"/>
      <c r="P18" s="56"/>
      <c r="Q18" s="14"/>
    </row>
    <row r="19" spans="1:178" s="5" customFormat="1" ht="15" customHeight="1">
      <c r="A19" s="1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M19" s="86"/>
      <c r="N19" s="87"/>
      <c r="O19" s="194"/>
      <c r="P19" s="56"/>
      <c r="Q19" s="14"/>
    </row>
    <row r="20" spans="1:178" s="5" customFormat="1" ht="15" customHeight="1">
      <c r="A20" s="1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M20" s="86"/>
      <c r="N20" s="87"/>
      <c r="O20" s="194"/>
      <c r="P20" s="56"/>
      <c r="Q20" s="14"/>
    </row>
    <row r="21" spans="1:178" s="5" customFormat="1" ht="15" customHeight="1">
      <c r="A21" s="1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89"/>
      <c r="K21" s="89"/>
      <c r="L21" s="86"/>
      <c r="M21" s="86"/>
      <c r="N21" s="233"/>
      <c r="O21" s="194"/>
      <c r="P21" s="56"/>
      <c r="Q21" s="14"/>
    </row>
    <row r="22" spans="1:178" s="5" customFormat="1" ht="15" customHeight="1">
      <c r="A22" s="1"/>
      <c r="B22" s="90"/>
      <c r="C22" s="86"/>
      <c r="D22" s="86"/>
      <c r="E22" s="86"/>
      <c r="F22" s="90"/>
      <c r="G22" s="86"/>
      <c r="H22" s="86"/>
      <c r="I22" s="114"/>
      <c r="J22" s="86"/>
      <c r="K22" s="86"/>
      <c r="L22" s="86"/>
      <c r="M22" s="86"/>
      <c r="N22" s="87"/>
      <c r="O22" s="194"/>
      <c r="Q22" s="14"/>
    </row>
    <row r="23" spans="1:178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87"/>
      <c r="O23" s="194"/>
      <c r="P23" s="56"/>
      <c r="Q23" s="14"/>
    </row>
    <row r="24" spans="1:178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87"/>
      <c r="O24" s="194"/>
      <c r="P24" s="56"/>
      <c r="Q24" s="14"/>
    </row>
    <row r="25" spans="1:178" s="5" customFormat="1" ht="15" customHeight="1">
      <c r="A25" s="1"/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87"/>
      <c r="O25" s="194"/>
      <c r="P25" s="56"/>
      <c r="Q25" s="14"/>
    </row>
    <row r="26" spans="1:178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79"/>
      <c r="J26" s="280"/>
      <c r="K26" s="281"/>
      <c r="L26" s="86"/>
      <c r="M26" s="86"/>
      <c r="N26" s="87"/>
      <c r="O26" s="194"/>
      <c r="P26" s="194"/>
      <c r="Q26" s="14"/>
      <c r="T26" s="171"/>
    </row>
    <row r="27" spans="1:178" s="5" customFormat="1" ht="15" customHeight="1">
      <c r="A27" s="1"/>
      <c r="B27" s="283"/>
      <c r="C27" s="254"/>
      <c r="D27" s="255"/>
      <c r="E27" s="256"/>
      <c r="F27" s="86"/>
      <c r="L27" s="86"/>
      <c r="M27" s="86"/>
      <c r="N27" s="87"/>
      <c r="O27" s="194"/>
      <c r="P27" s="203"/>
      <c r="Q27" s="14"/>
      <c r="T27" s="171"/>
    </row>
    <row r="28" spans="1:178" s="5" customFormat="1" ht="15" customHeight="1">
      <c r="A28" s="1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N28" s="87"/>
      <c r="O28" s="194"/>
      <c r="P28" s="56"/>
      <c r="Q28" s="14"/>
    </row>
    <row r="29" spans="1:178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N29" s="87"/>
      <c r="P29" s="282" t="s">
        <v>24</v>
      </c>
      <c r="Q29" s="282"/>
      <c r="T29" s="47" t="s">
        <v>25</v>
      </c>
      <c r="U29" s="13"/>
      <c r="V29" s="13"/>
      <c r="W29" s="13"/>
      <c r="X29" s="13"/>
      <c r="Y29" s="13"/>
      <c r="Z29" s="13"/>
      <c r="AA29" s="13"/>
      <c r="AB29" s="13"/>
      <c r="AC29" s="13"/>
      <c r="AD29" s="47" t="s">
        <v>26</v>
      </c>
      <c r="AE29" s="13"/>
      <c r="AF29" s="13"/>
      <c r="AG29" s="13"/>
      <c r="AH29" s="13"/>
      <c r="AI29" s="13"/>
      <c r="AJ29" s="13"/>
      <c r="AK29" s="13"/>
      <c r="AL29" s="13"/>
      <c r="AM29" s="48"/>
    </row>
    <row r="30" spans="1:178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O30" s="171"/>
      <c r="P30" s="212" t="s">
        <v>27</v>
      </c>
      <c r="Q30" s="212" t="s">
        <v>28</v>
      </c>
      <c r="R30" s="187"/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49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49" t="s">
        <v>38</v>
      </c>
      <c r="AX30" s="49" t="s">
        <v>39</v>
      </c>
      <c r="AY30" s="49" t="s">
        <v>40</v>
      </c>
      <c r="AZ30" s="49" t="s">
        <v>41</v>
      </c>
      <c r="BA30" s="49" t="s">
        <v>42</v>
      </c>
      <c r="BB30" s="49" t="s">
        <v>43</v>
      </c>
      <c r="BC30" s="49" t="s">
        <v>44</v>
      </c>
      <c r="BD30" s="49" t="s">
        <v>45</v>
      </c>
      <c r="BE30" s="49" t="s">
        <v>46</v>
      </c>
      <c r="BF30" s="49" t="s">
        <v>47</v>
      </c>
      <c r="BR30" s="49" t="s">
        <v>39</v>
      </c>
      <c r="BS30" s="49" t="s">
        <v>40</v>
      </c>
      <c r="BT30" s="49" t="s">
        <v>41</v>
      </c>
      <c r="BU30" s="49" t="s">
        <v>42</v>
      </c>
      <c r="BV30" s="49" t="s">
        <v>43</v>
      </c>
      <c r="BW30" s="49" t="s">
        <v>44</v>
      </c>
      <c r="BX30" s="49" t="s">
        <v>45</v>
      </c>
      <c r="BY30" s="49" t="s">
        <v>46</v>
      </c>
      <c r="BZ30" s="49" t="s">
        <v>47</v>
      </c>
      <c r="CL30" s="49" t="s">
        <v>39</v>
      </c>
      <c r="CM30" s="49" t="s">
        <v>40</v>
      </c>
      <c r="CN30" s="49" t="s">
        <v>41</v>
      </c>
      <c r="CO30" s="49" t="s">
        <v>42</v>
      </c>
      <c r="CP30" s="49" t="s">
        <v>43</v>
      </c>
      <c r="CQ30" s="49" t="s">
        <v>44</v>
      </c>
      <c r="CR30" s="49" t="s">
        <v>45</v>
      </c>
      <c r="CS30" s="49" t="s">
        <v>46</v>
      </c>
      <c r="CT30" s="49" t="s">
        <v>47</v>
      </c>
      <c r="DF30" s="49" t="s">
        <v>39</v>
      </c>
      <c r="DG30" s="49" t="s">
        <v>40</v>
      </c>
      <c r="DH30" s="49" t="s">
        <v>41</v>
      </c>
      <c r="DI30" s="49" t="s">
        <v>42</v>
      </c>
      <c r="DJ30" s="49" t="s">
        <v>43</v>
      </c>
      <c r="DK30" s="49" t="s">
        <v>44</v>
      </c>
      <c r="DL30" s="49" t="s">
        <v>45</v>
      </c>
      <c r="DM30" s="49" t="s">
        <v>46</v>
      </c>
      <c r="DN30" s="49" t="s">
        <v>47</v>
      </c>
      <c r="DZ30" s="49" t="s">
        <v>39</v>
      </c>
      <c r="EA30" s="49" t="s">
        <v>40</v>
      </c>
      <c r="EB30" s="49" t="s">
        <v>41</v>
      </c>
      <c r="EC30" s="49" t="s">
        <v>42</v>
      </c>
      <c r="ED30" s="49" t="s">
        <v>43</v>
      </c>
      <c r="EE30" s="49" t="s">
        <v>44</v>
      </c>
      <c r="EF30" s="49" t="s">
        <v>45</v>
      </c>
      <c r="EG30" s="49" t="s">
        <v>46</v>
      </c>
      <c r="EH30" s="49" t="s">
        <v>47</v>
      </c>
      <c r="ET30" s="49" t="s">
        <v>39</v>
      </c>
      <c r="EU30" s="49" t="s">
        <v>40</v>
      </c>
      <c r="EV30" s="49" t="s">
        <v>41</v>
      </c>
      <c r="EW30" s="49" t="s">
        <v>42</v>
      </c>
      <c r="EX30" s="49" t="s">
        <v>43</v>
      </c>
      <c r="EY30" s="49" t="s">
        <v>44</v>
      </c>
      <c r="EZ30" s="49" t="s">
        <v>45</v>
      </c>
      <c r="FA30" s="49" t="s">
        <v>46</v>
      </c>
      <c r="FB30" s="49" t="s">
        <v>47</v>
      </c>
      <c r="FN30" s="49" t="s">
        <v>39</v>
      </c>
      <c r="FO30" s="49" t="s">
        <v>40</v>
      </c>
      <c r="FP30" s="49" t="s">
        <v>41</v>
      </c>
      <c r="FQ30" s="49" t="s">
        <v>42</v>
      </c>
      <c r="FR30" s="49" t="s">
        <v>43</v>
      </c>
      <c r="FS30" s="49" t="s">
        <v>44</v>
      </c>
      <c r="FT30" s="49" t="s">
        <v>45</v>
      </c>
      <c r="FU30" s="49" t="s">
        <v>46</v>
      </c>
      <c r="FV30" s="49" t="s">
        <v>47</v>
      </c>
    </row>
    <row r="31" spans="1:178" ht="32.1" customHeight="1">
      <c r="A31" s="116"/>
      <c r="B31" s="142" t="str">
        <f>VLOOKUP("m²",Sprachindex!A:Z,Info!$O$6,FALSE)</f>
        <v>m²</v>
      </c>
      <c r="C31" s="92"/>
      <c r="D31" s="92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88" t="str">
        <f>VLOOKUP("Dachplatten, inkl. Befestigung",Sprachindex!A:Z,Info!$O$6,FALSE)</f>
        <v>Dachplatten, inkl. Befestigung</v>
      </c>
      <c r="F31" s="289"/>
      <c r="G31" s="289"/>
      <c r="H31" s="289"/>
      <c r="I31" s="289"/>
      <c r="J31" s="289"/>
      <c r="K31" s="290"/>
      <c r="L31" s="93" t="str">
        <f>IF(A31=0,"",IF(N11=1,P31,Q31))</f>
        <v/>
      </c>
      <c r="M31" s="94"/>
      <c r="O31" s="171"/>
      <c r="P31" s="189" t="str">
        <f>ROUNDUP($A31/10,0)*10&amp;" " &amp; Formeln!$A$110 &amp; "                     "  &amp; "(="&amp;ROUNDUP($A31/10,0)*40&amp; " " &amp; Formeln!$A$111 &amp; ")"</f>
        <v>0 m²                     (=0 STK)</v>
      </c>
      <c r="Q31" s="188" t="str">
        <f>ROUNDUP($A31/1,0)*1 &amp;" " &amp; Formeln!$A$110 &amp; "                                    (="&amp;ROUNDUP($A31/1,0)*4 &amp;" " &amp; Formeln!$A$111 &amp; ")"</f>
        <v>0 m²                                    (=0 STK)</v>
      </c>
      <c r="R31" s="187"/>
      <c r="T31" s="46">
        <v>110700</v>
      </c>
      <c r="U31" s="46">
        <v>110701</v>
      </c>
      <c r="V31" s="46">
        <v>110702</v>
      </c>
      <c r="W31" s="46">
        <v>110703</v>
      </c>
      <c r="X31" s="46">
        <v>110704</v>
      </c>
      <c r="Y31" s="46">
        <v>110705</v>
      </c>
      <c r="Z31" s="46">
        <v>110706</v>
      </c>
      <c r="AA31" s="46">
        <v>110707</v>
      </c>
      <c r="AB31" s="46">
        <v>110708</v>
      </c>
      <c r="AC31" s="46"/>
      <c r="AD31" s="46">
        <v>110710</v>
      </c>
      <c r="AE31" s="46">
        <v>110711</v>
      </c>
      <c r="AF31" s="46">
        <v>110712</v>
      </c>
      <c r="AG31" s="46">
        <v>110713</v>
      </c>
      <c r="AH31" s="46">
        <v>110714</v>
      </c>
      <c r="AI31" s="46">
        <v>110715</v>
      </c>
      <c r="AJ31" s="46">
        <v>110716</v>
      </c>
      <c r="AK31" s="46">
        <v>110717</v>
      </c>
      <c r="AL31" s="46">
        <v>110718</v>
      </c>
      <c r="AM31" s="46">
        <v>110719</v>
      </c>
    </row>
    <row r="32" spans="1:178" ht="32.1" customHeight="1">
      <c r="A32" s="118"/>
      <c r="B32" s="96" t="str">
        <f>VLOOKUP("lfm",Sprachindex!A:Z,Info!$O$6,FALSE)</f>
        <v>lfm</v>
      </c>
      <c r="C32" s="95"/>
      <c r="D32" s="95">
        <v>561002</v>
      </c>
      <c r="E32" s="250" t="str">
        <f>VLOOKUP("Saumstreifen, 1,20x150x1806mm, für Dachplatte",Sprachindex!A:Z,Info!$O$6,FALSE)</f>
        <v>Saumstreifen, 1,20x150x1806mm, für Dachplatte</v>
      </c>
      <c r="F32" s="251"/>
      <c r="G32" s="251"/>
      <c r="H32" s="251"/>
      <c r="I32" s="251"/>
      <c r="J32" s="251"/>
      <c r="K32" s="257"/>
      <c r="L32" s="96" t="str">
        <f t="shared" ref="L32:L71" si="0">IF(A32=0,"",IF($N$11=1,P32,Q32))</f>
        <v/>
      </c>
      <c r="M32" s="97"/>
      <c r="O32" s="171"/>
      <c r="P32" s="189" t="str">
        <f>ROUNDUP($A32/1.806,0)*1.806 &amp; " " &amp; Formeln!$A$112 &amp; "                     " &amp; "(="&amp;ROUNDUP($A32/1.806,0)&amp; " " &amp; Formeln!$A$111 &amp; ")"</f>
        <v>0 lfm                     (=0 STK)</v>
      </c>
      <c r="Q32" s="189" t="str">
        <f>ROUNDUP($A32/1.806,0)*1.806 &amp; " " &amp; Formeln!$A$112 &amp; "                     " &amp; "(="&amp;ROUNDUP($A32/1.806,0) &amp;" " &amp; Formeln!$A$111 &amp; ")"</f>
        <v>0 lfm                     (=0 STK)</v>
      </c>
      <c r="R32" s="187"/>
    </row>
    <row r="33" spans="1:39" ht="32.1" customHeight="1">
      <c r="A33" s="118"/>
      <c r="B33" s="96" t="str">
        <f>VLOOKUP("lfm",Sprachindex!A:Z,Info!$O$6,FALSE)</f>
        <v>lfm</v>
      </c>
      <c r="C33" s="95"/>
      <c r="D33" s="95">
        <v>561003</v>
      </c>
      <c r="E33" s="250" t="str">
        <f>VLOOKUP("Saumstreifen gerillt, 1,20x150x600mm,f.Abtreppung b.Dachplatte",Sprachindex!A:Z,Info!$O$6,FALSE)</f>
        <v>Saumstreifen gerillt, 1,20x150x600mm,f.Abtreppung b.Dachplatte</v>
      </c>
      <c r="F33" s="251"/>
      <c r="G33" s="251"/>
      <c r="H33" s="251"/>
      <c r="I33" s="251"/>
      <c r="J33" s="251"/>
      <c r="K33" s="257"/>
      <c r="L33" s="96" t="str">
        <f t="shared" si="0"/>
        <v/>
      </c>
      <c r="M33" s="97"/>
      <c r="O33" s="171"/>
      <c r="P33" s="189" t="str">
        <f>ROUNDUP($A33/0.6,0)*0.6 &amp; " " &amp; Formeln!$A$112 &amp; "                " &amp; "(="&amp;ROUNDUP($A33/0.6,0) &amp; " " &amp;Formeln!$A$111 &amp; ")"</f>
        <v>0 lfm                (=0 STK)</v>
      </c>
      <c r="Q33" s="190" t="str">
        <f>ROUNDUP($A33/0.6,0)*0.6 &amp; " " &amp; Formeln!$A$112 &amp; "                     " &amp; "(="&amp;ROUNDUP($A33/0.6,0) &amp;" " &amp; Formeln!$A$111 &amp; ")"</f>
        <v>0 lfm                     (=0 STK)</v>
      </c>
      <c r="R33" s="187"/>
    </row>
    <row r="34" spans="1:39" ht="32.1" customHeight="1">
      <c r="A34" s="118"/>
      <c r="B34" s="96" t="str">
        <f>VLOOKUP("Stk",Sprachindex!A:Z,Info!$O$6,FALSE)</f>
        <v>STK</v>
      </c>
      <c r="C34" s="95"/>
      <c r="D34" s="95">
        <v>505001</v>
      </c>
      <c r="E34" s="250" t="str">
        <f>VLOOKUP("Patenthaft, für Platte, Schindel und DS.19",Sprachindex!A:Z,Info!$O$6,FALSE)</f>
        <v>Patenthaft, für Platte, Schindel und DS.19</v>
      </c>
      <c r="F34" s="251"/>
      <c r="G34" s="251"/>
      <c r="H34" s="251"/>
      <c r="I34" s="251"/>
      <c r="J34" s="251"/>
      <c r="K34" s="257"/>
      <c r="L34" s="96" t="str">
        <f t="shared" si="0"/>
        <v/>
      </c>
      <c r="M34" s="97"/>
      <c r="O34" s="171"/>
      <c r="P34" s="191" t="str">
        <f>ROUNDUP($A34/840,0)*840 &amp; " " &amp; Formeln!$A$111</f>
        <v>0 STK</v>
      </c>
      <c r="Q34" s="191" t="str">
        <f>ROUNDUP($A34,0) &amp;" " &amp; Formeln!$A$111</f>
        <v>0 STK</v>
      </c>
      <c r="R34" s="187"/>
    </row>
    <row r="35" spans="1:39" ht="32.1" customHeight="1">
      <c r="A35" s="118"/>
      <c r="B35" s="96" t="str">
        <f>VLOOKUP("Magazin",Sprachindex!A:Z,Info!$O$6,FALSE)</f>
        <v>Magazin</v>
      </c>
      <c r="C35" s="95"/>
      <c r="D35" s="95">
        <v>505004</v>
      </c>
      <c r="E35" s="250" t="str">
        <f>VLOOKUP("Haftemagazin für Bulltack, 80 Hafter/Magazin",Sprachindex!A:Z,Info!$O$6,FALSE)</f>
        <v>Haftemagazin für Bulltack, 80 Hafter/Magazin</v>
      </c>
      <c r="F35" s="251"/>
      <c r="G35" s="251"/>
      <c r="H35" s="251"/>
      <c r="I35" s="251"/>
      <c r="J35" s="251"/>
      <c r="K35" s="257"/>
      <c r="L35" s="96" t="str">
        <f>IF(A35=0,"",IF($N$11=1,P35, Q35))</f>
        <v/>
      </c>
      <c r="M35" s="97"/>
      <c r="O35" s="171"/>
      <c r="P35" s="190" t="str">
        <f>ROUNDUP($A35/30,0)*30&amp;" "&amp;Formeln!A117&amp; "           " &amp; "(=" &amp;ROUNDUP($A35/30,0)*30*80&amp;" "&amp;Formeln!A111&amp;")"</f>
        <v>0 Magazine           (=0 STK)</v>
      </c>
      <c r="Q35" s="190" t="str">
        <f>ROUNDUP($A35,0) &amp; " " &amp; R35 &amp; " " &amp; "(="&amp;ROUNDUP($A35,0)*80 &amp;" " &amp; Formeln!$A$111 &amp; ")"</f>
        <v>0  (=0 STK)</v>
      </c>
      <c r="R35" s="187" t="str">
        <f>IF(A35&gt;1,Formeln!A117,IF(A35=1,Formeln!A118,""))</f>
        <v/>
      </c>
    </row>
    <row r="36" spans="1:39" ht="32.1" customHeight="1">
      <c r="A36" s="118"/>
      <c r="B36" s="96" t="str">
        <f>VLOOKUP("kg",Sprachindex!A:Z,Info!$O$6,FALSE)</f>
        <v>kg</v>
      </c>
      <c r="C36" s="95"/>
      <c r="D36" s="95">
        <f>IF(H36=Formeln!A2,340392,IF(H36=Formeln!A3,340394,IF(H36=Formeln!A4,341392,0)))</f>
        <v>0</v>
      </c>
      <c r="E36" s="250" t="str">
        <f>VLOOKUP("Rillennägel, verzinkt",Sprachindex!A:Z,Info!$O$6,FALSE)</f>
        <v>Rillennägel, verzinkt</v>
      </c>
      <c r="F36" s="251"/>
      <c r="G36" s="251"/>
      <c r="H36" s="252"/>
      <c r="I36" s="267"/>
      <c r="J36" s="267"/>
      <c r="K36" s="253"/>
      <c r="L36" s="96" t="str">
        <f>IF(A36=0,"",IF(H36=Formeln!$A$1,"",IF($N$11=1,P36,Q36)))</f>
        <v/>
      </c>
      <c r="M36" s="97"/>
      <c r="O36" s="171"/>
      <c r="P36" s="190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STK</v>
      </c>
      <c r="Q36" s="190" t="str">
        <f>ROUNDUP($A36,2) &amp; " " &amp; Formeln!$A$114 &amp; "                     " &amp; "(="&amp;ROUNDUP($A36/0.5,1)*0.5*$R36 &amp;" " &amp; Formeln!$A$111 &amp; ")"</f>
        <v>0 kg                     (=0 STK)</v>
      </c>
      <c r="R36" s="192">
        <f>IF(H36=Formeln!A2,570,IF(H36=Formeln!A3,480,IF(H36=Formeln!A4,380,0)))</f>
        <v>0</v>
      </c>
    </row>
    <row r="37" spans="1:39" ht="32.1" customHeight="1">
      <c r="A37" s="118"/>
      <c r="B37" s="96" t="str">
        <f>VLOOKUP("STK",Sprachindex!A:Z,Info!$O$6,FALSE)</f>
        <v>STK</v>
      </c>
      <c r="C37" s="95"/>
      <c r="D37" s="98">
        <f>IF(H37=Formeln!A6,341395,IF(H37=Formeln!A7,341396,IF(H37=Formeln!A8,341398,0)))</f>
        <v>0</v>
      </c>
      <c r="E37" s="250" t="str">
        <f>VLOOKUP("Rillennägel gebunden",Sprachindex!A:Z,Info!$O$6,FALSE)</f>
        <v>Rillennägel gebunden</v>
      </c>
      <c r="F37" s="251"/>
      <c r="G37" s="251"/>
      <c r="H37" s="252"/>
      <c r="I37" s="267"/>
      <c r="J37" s="267"/>
      <c r="K37" s="253"/>
      <c r="L37" s="183" t="str">
        <f>IF($A37=0,"",IF($H37=Formeln!$A$5,"",IF($N$11=1,P37,Q37)))</f>
        <v/>
      </c>
      <c r="M37" s="97"/>
      <c r="O37" s="171"/>
      <c r="P37" s="190" t="str">
        <f>ROUNDUP($A37/$R37,0)*$R37 &amp; " " &amp; Formeln!$A$111 &amp; "        " &amp; "(="&amp; ROUNDUP($A37/$R37,0) &amp;" " &amp; Formeln!$A$113 &amp; ")"</f>
        <v>0 STK        (=0 Karton)</v>
      </c>
      <c r="Q37" s="191" t="str">
        <f>$A37&amp;" "&amp;Formeln!$A$111&amp;"                     " &amp; "(="&amp;ROUNDUP($A37/$R37,2)&amp;" "&amp;Formeln!$A$113&amp;")"</f>
        <v xml:space="preserve"> STK                     (=0 Karton)</v>
      </c>
      <c r="R37" s="192">
        <f>IF($H37=Formeln!$A$7,2400,3200)</f>
        <v>3200</v>
      </c>
    </row>
    <row r="38" spans="1:39" ht="32.1" customHeight="1">
      <c r="A38" s="118"/>
      <c r="B38" s="96" t="str">
        <f>VLOOKUP("lfm",Sprachindex!A:Z,Info!$O$6,FALSE)</f>
        <v>lfm</v>
      </c>
      <c r="C38" s="95"/>
      <c r="D38" s="95">
        <f>IF($N$21=1,T38,IF($N$21=4,U38,IF($N$21=5,V38,IF($N$21=11,W38,IF($N$21=7,X38,IF($N$21=3,Y38,IF($N$21=6,Z38,IF($N$21=9,AA38,IF($N$21=2,AB38,IF($N$21=8,AC38,0))))))))))</f>
        <v>0</v>
      </c>
      <c r="E38" s="250" t="str">
        <f>VLOOKUP("Einlaufblech",Sprachindex!A:Z,Info!$O$6,FALSE)</f>
        <v>Einlaufblech</v>
      </c>
      <c r="F38" s="251"/>
      <c r="G38" s="251"/>
      <c r="H38" s="251"/>
      <c r="I38" s="251"/>
      <c r="J38" s="251"/>
      <c r="K38" s="257"/>
      <c r="L38" s="96" t="str">
        <f t="shared" si="0"/>
        <v/>
      </c>
      <c r="M38" s="97"/>
      <c r="O38" s="171"/>
      <c r="P38" s="191" t="str">
        <f>ROUNDUP($A38/2,0)*2 &amp;" " &amp; Formeln!$A$112 &amp; "                " &amp; "(="&amp;ROUNDUP($A38/2,0) &amp; " " &amp;Formeln!$A$111 &amp; ")"</f>
        <v>0 lfm                (=0 STK)</v>
      </c>
      <c r="Q38" s="191" t="str">
        <f>ROUNDUP($A38/2,0)*2 &amp;" " &amp; Formeln!$A$112 &amp; "                " &amp; "(="&amp;ROUNDUP($A38/2,0) &amp; " " &amp;Formeln!$A$111 &amp; ")"</f>
        <v>0 lfm                (=0 STK)</v>
      </c>
      <c r="R38" s="187"/>
      <c r="T38" s="46">
        <v>563004</v>
      </c>
      <c r="U38" s="46">
        <v>563006</v>
      </c>
      <c r="V38" s="46">
        <v>563001</v>
      </c>
      <c r="W38" s="46">
        <v>563005</v>
      </c>
      <c r="Y38" s="46">
        <v>563007</v>
      </c>
      <c r="Z38" s="46">
        <v>563016</v>
      </c>
      <c r="AA38" s="46">
        <v>563011</v>
      </c>
      <c r="AB38" s="46">
        <v>563017</v>
      </c>
      <c r="AC38" s="46"/>
    </row>
    <row r="39" spans="1:39" ht="32.1" customHeight="1">
      <c r="A39" s="118"/>
      <c r="B39" s="96" t="str">
        <f>VLOOKUP("lfm",Sprachindex!A:Z,Info!$O$6,FALSE)</f>
        <v>lfm</v>
      </c>
      <c r="C39" s="99"/>
      <c r="D39" s="99" t="str">
        <f>IF(H39=Formeln!A10,507400,IF(H39=Formeln!A11,507402,IF(H39=Formeln!A12,507411,IF(H39=Formeln!A13,"",0))))</f>
        <v/>
      </c>
      <c r="E39" s="250" t="str">
        <f>VLOOKUP("Lüftungsband",Sprachindex!A:Z,Info!$O$6,FALSE)</f>
        <v>Lüftungsband</v>
      </c>
      <c r="F39" s="251"/>
      <c r="G39" s="251"/>
      <c r="H39" s="252"/>
      <c r="I39" s="267"/>
      <c r="J39" s="267"/>
      <c r="K39" s="253"/>
      <c r="L39" s="96" t="str">
        <f>IF($H39=Formeln!$A$9," ",IF(A39=0,"",IF($N$11=1,P39,Q39)))</f>
        <v xml:space="preserve"> </v>
      </c>
      <c r="M39" s="97"/>
      <c r="O39" s="171"/>
      <c r="P39" s="191" t="str">
        <f>ROUNDUP($A39/40,0)*40 &amp;" " &amp; Formeln!$A$112</f>
        <v>0 lfm</v>
      </c>
      <c r="Q39" s="191" t="str">
        <f>$A39 &amp;" " &amp; Formeln!$A$112</f>
        <v xml:space="preserve"> lfm</v>
      </c>
      <c r="R39" s="187"/>
      <c r="T39" s="47" t="s">
        <v>25</v>
      </c>
      <c r="U39" s="13"/>
      <c r="V39" s="13"/>
      <c r="W39" s="13"/>
      <c r="X39" s="13"/>
      <c r="Y39" s="13"/>
      <c r="Z39" s="13"/>
      <c r="AA39" s="13"/>
      <c r="AB39" s="13"/>
      <c r="AC39" s="13"/>
      <c r="AD39" s="47" t="s">
        <v>26</v>
      </c>
      <c r="AE39" s="13"/>
      <c r="AF39" s="13"/>
      <c r="AG39" s="13"/>
      <c r="AH39" s="13"/>
      <c r="AI39" s="13"/>
      <c r="AJ39" s="13"/>
      <c r="AK39" s="13"/>
      <c r="AL39" s="13"/>
      <c r="AM39" s="48"/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v>507300</v>
      </c>
      <c r="E40" s="250" t="str">
        <f>VLOOKUP("Vogelschutzgitter, Lochbreite 5mm, 0,70x125x2000mm, braun/anthrazit",Sprachindex!A:Z,Info!$O$6,FALSE)</f>
        <v>Vogelschutzgitter, Lochbreite 5mm, 0,70x125x2000mm, braun/anthrazit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71"/>
      <c r="P40" s="191" t="str">
        <f>ROUNDUP($A40/2,0)*2 &amp;" " &amp; Formeln!$A$112 &amp; "                " &amp; "(="&amp;ROUNDUP($A40/2,0) &amp; " " &amp;Formeln!$A$111 &amp; ")"</f>
        <v>0 lfm                (=0 STK)</v>
      </c>
      <c r="Q40" s="191" t="str">
        <f>ROUNDUP($A40/2,0)*2 &amp;" " &amp; Formeln!$A$112 &amp; "                " &amp; "(="&amp;ROUNDUP($A40/2,0) &amp; " " &amp;Formeln!$A$111 &amp; ")"</f>
        <v>0 lfm                (=0 STK)</v>
      </c>
      <c r="R40" s="187"/>
      <c r="T40" s="49" t="s">
        <v>29</v>
      </c>
      <c r="U40" s="49" t="s">
        <v>30</v>
      </c>
      <c r="V40" s="49" t="s">
        <v>31</v>
      </c>
      <c r="W40" s="49" t="s">
        <v>32</v>
      </c>
      <c r="X40" s="49" t="s">
        <v>33</v>
      </c>
      <c r="Y40" s="49" t="s">
        <v>34</v>
      </c>
      <c r="Z40" s="49" t="s">
        <v>35</v>
      </c>
      <c r="AA40" s="49" t="s">
        <v>36</v>
      </c>
      <c r="AB40" s="49" t="s">
        <v>37</v>
      </c>
      <c r="AC40" s="49" t="s">
        <v>38</v>
      </c>
      <c r="AD40" s="49" t="s">
        <v>29</v>
      </c>
      <c r="AE40" s="49" t="s">
        <v>30</v>
      </c>
      <c r="AF40" s="49" t="s">
        <v>31</v>
      </c>
      <c r="AG40" s="49" t="s">
        <v>32</v>
      </c>
      <c r="AH40" s="49" t="s">
        <v>33</v>
      </c>
      <c r="AI40" s="49" t="s">
        <v>34</v>
      </c>
      <c r="AJ40" s="49" t="s">
        <v>35</v>
      </c>
      <c r="AK40" s="49" t="s">
        <v>36</v>
      </c>
      <c r="AL40" s="49" t="s">
        <v>37</v>
      </c>
      <c r="AM40" s="49" t="s">
        <v>38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 t="shared" ref="D41:D47" si="1"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250" t="str">
        <f>VLOOKUP("Ortgangstreifen, 0,70x95x2000mm",Sprachindex!A:Z,Info!$O$6,FALSE)</f>
        <v>Ortgangstreifen, 0,70x95x2000mm</v>
      </c>
      <c r="F41" s="251"/>
      <c r="G41" s="251"/>
      <c r="H41" s="251"/>
      <c r="I41" s="251"/>
      <c r="J41" s="251"/>
      <c r="K41" s="257"/>
      <c r="L41" s="96" t="str">
        <f t="shared" si="0"/>
        <v/>
      </c>
      <c r="M41" s="97"/>
      <c r="O41" s="171"/>
      <c r="P41" s="191" t="str">
        <f>ROUNDUP($A41/2,0)*2 &amp;" " &amp; Formeln!$A$112 &amp; "                " &amp; "(="&amp;ROUNDUP($A41/2,0) &amp; " " &amp;Formeln!$A$111 &amp; ")"</f>
        <v>0 lfm                (=0 STK)</v>
      </c>
      <c r="Q41" s="191" t="str">
        <f>ROUNDUP($A41/2,0)*2 &amp;" " &amp; Formeln!$A$112 &amp; "                " &amp; "(="&amp;ROUNDUP($A41/2,0) &amp; " " &amp;Formeln!$A$111 &amp; ")"</f>
        <v>0 lfm                (=0 STK)</v>
      </c>
      <c r="R41" s="187"/>
      <c r="T41" s="46">
        <v>110500</v>
      </c>
      <c r="U41" s="46">
        <v>110501</v>
      </c>
      <c r="V41" s="46">
        <v>110502</v>
      </c>
      <c r="W41" s="46">
        <v>110503</v>
      </c>
      <c r="X41" s="46">
        <v>110504</v>
      </c>
      <c r="Y41" s="46">
        <v>110505</v>
      </c>
      <c r="Z41" s="46">
        <v>110506</v>
      </c>
      <c r="AA41" s="46">
        <v>110507</v>
      </c>
      <c r="AB41" s="46">
        <v>110508</v>
      </c>
      <c r="AC41" s="46"/>
      <c r="AD41" s="46">
        <v>110510</v>
      </c>
      <c r="AE41" s="46">
        <v>110511</v>
      </c>
      <c r="AF41" s="46">
        <v>110512</v>
      </c>
      <c r="AG41" s="46">
        <v>110513</v>
      </c>
      <c r="AH41" s="46">
        <v>110514</v>
      </c>
      <c r="AI41" s="46">
        <v>110515</v>
      </c>
      <c r="AJ41" s="46">
        <v>110516</v>
      </c>
      <c r="AK41" s="46">
        <v>110517</v>
      </c>
      <c r="AL41" s="46">
        <v>110518</v>
      </c>
      <c r="AM41" s="1">
        <v>110519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si="1"/>
        <v>0</v>
      </c>
      <c r="E42" s="250" t="str">
        <f>VLOOKUP("Sicherheitskehle 3m lang",Sprachindex!A:Z,Info!$O$6,FALSE)</f>
        <v>Sicherheitskehle 3m lang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71"/>
      <c r="P42" s="191" t="str">
        <f>ROUNDUP($A42/3,0)*3 &amp;" " &amp; Formeln!$A$112 &amp; "                " &amp; "(="&amp;ROUNDUP($A42/3,0) &amp; " " &amp;Formeln!$A$111 &amp; ")"</f>
        <v>0 lfm                (=0 STK)</v>
      </c>
      <c r="Q42" s="191" t="str">
        <f>ROUNDUP($A42/3,0)*3 &amp;" " &amp; Formeln!$A$112 &amp; "                " &amp; "(="&amp;ROUNDUP($A42/3,0) &amp; " " &amp;Formeln!$A$111 &amp; ")"</f>
        <v>0 lfm                (=0 STK)</v>
      </c>
      <c r="R42" s="187"/>
      <c r="T42" s="46">
        <v>110520</v>
      </c>
      <c r="U42" s="46">
        <v>110521</v>
      </c>
      <c r="V42" s="46">
        <v>110522</v>
      </c>
      <c r="W42" s="46">
        <v>110523</v>
      </c>
      <c r="X42" s="46">
        <v>110524</v>
      </c>
      <c r="Y42" s="46">
        <v>110525</v>
      </c>
      <c r="Z42" s="46">
        <v>110526</v>
      </c>
      <c r="AA42" s="46">
        <v>110527</v>
      </c>
      <c r="AB42" s="46">
        <v>110528</v>
      </c>
      <c r="AD42" s="46">
        <v>110530</v>
      </c>
      <c r="AE42" s="46">
        <v>110531</v>
      </c>
      <c r="AF42" s="46">
        <v>110532</v>
      </c>
      <c r="AG42" s="46">
        <v>110533</v>
      </c>
      <c r="AH42" s="46">
        <v>110534</v>
      </c>
      <c r="AI42" s="46">
        <v>110535</v>
      </c>
      <c r="AJ42" s="46">
        <v>110536</v>
      </c>
      <c r="AK42" s="46">
        <v>110537</v>
      </c>
      <c r="AL42" s="46">
        <v>110538</v>
      </c>
      <c r="AM42" s="1">
        <v>110539</v>
      </c>
    </row>
    <row r="43" spans="1:39" ht="32.1" customHeight="1">
      <c r="A43" s="118"/>
      <c r="B43" s="96" t="str">
        <f>VLOOKUP("lfm",Sprachindex!A:Z,Info!$O$6,FALSE)</f>
        <v>lfm</v>
      </c>
      <c r="C43" s="95"/>
      <c r="D43" s="95">
        <f t="shared" si="1"/>
        <v>0</v>
      </c>
      <c r="E43" s="250" t="str">
        <f>VLOOKUP("Grat-Firstreiter inkl. Dichtschrauben ",Sprachindex!A:Z,Info!$O$6,FALSE)</f>
        <v xml:space="preserve">Grat-Firstreiter inkl. Dichtschrauben </v>
      </c>
      <c r="F43" s="251"/>
      <c r="G43" s="251"/>
      <c r="H43" s="251"/>
      <c r="I43" s="251"/>
      <c r="J43" s="251"/>
      <c r="K43" s="257"/>
      <c r="L43" s="96" t="str">
        <f>IF(A43=0,"",IF($N$11=1,P43,Q43))</f>
        <v/>
      </c>
      <c r="M43" s="97"/>
      <c r="O43" s="171"/>
      <c r="P43" s="191" t="str">
        <f>ROUNDUP($A43/10,0)*10 &amp;" " &amp; Formeln!$A$112 &amp; "                     " &amp; "(="&amp;ROUNDUP($A43/10,0)*10/0.5 &amp; " " &amp; Formeln!$A$111 &amp; ")"</f>
        <v>0 lfm                     (=0 STK)</v>
      </c>
      <c r="Q43" s="191" t="str">
        <f>ROUNDUP($A43/0.5,0)*0.5 &amp;" " &amp; Formeln!$A$112 &amp; "                     " &amp; "(="&amp;ROUNDUP($A43/0.5,0)&amp; " " &amp; Formeln!$A$111 &amp; ")"</f>
        <v>0 lfm                     (=0 STK)</v>
      </c>
      <c r="R43" s="187"/>
      <c r="T43" s="46">
        <v>110340</v>
      </c>
      <c r="U43" s="46">
        <v>110341</v>
      </c>
      <c r="V43" s="46">
        <v>110342</v>
      </c>
      <c r="W43" s="46">
        <v>110343</v>
      </c>
      <c r="X43" s="46">
        <v>110344</v>
      </c>
      <c r="Y43" s="46">
        <v>110345</v>
      </c>
      <c r="Z43" s="46">
        <v>110346</v>
      </c>
      <c r="AA43" s="46">
        <v>110347</v>
      </c>
      <c r="AB43" s="46">
        <v>110348</v>
      </c>
      <c r="AC43" s="46"/>
      <c r="AD43" s="46">
        <v>110350</v>
      </c>
      <c r="AE43" s="46">
        <v>110351</v>
      </c>
      <c r="AF43" s="46">
        <v>110352</v>
      </c>
      <c r="AG43" s="46">
        <v>110353</v>
      </c>
      <c r="AH43" s="46">
        <v>110354</v>
      </c>
      <c r="AI43" s="46">
        <v>110355</v>
      </c>
      <c r="AJ43" s="46">
        <v>110356</v>
      </c>
      <c r="AK43" s="46">
        <v>110357</v>
      </c>
      <c r="AL43" s="46">
        <v>110358</v>
      </c>
      <c r="AM43" s="1">
        <v>110359</v>
      </c>
    </row>
    <row r="44" spans="1:39" ht="32.1" customHeight="1">
      <c r="A44" s="118"/>
      <c r="B44" s="96" t="str">
        <f>VLOOKUP("Stk",Sprachindex!A:Z,Info!$O$6,FALSE)</f>
        <v>STK</v>
      </c>
      <c r="C44" s="95"/>
      <c r="D44" s="95">
        <f t="shared" si="1"/>
        <v>0</v>
      </c>
      <c r="E44" s="250" t="str">
        <f>VLOOKUP("Gratreitervorkopf",Sprachindex!A:Z,Info!$O$6,FALSE)</f>
        <v>Gratreitervorkopf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71"/>
      <c r="P44" s="191" t="str">
        <f>ROUNDUP($A44/10,0)*10 &amp;" " &amp; Formeln!$A$111</f>
        <v>0 STK</v>
      </c>
      <c r="Q44" s="191" t="str">
        <f>ROUNDUP($A44/1,0)*1 &amp;" " &amp; Formeln!$A$111</f>
        <v>0 STK</v>
      </c>
      <c r="R44" s="187"/>
      <c r="T44" s="46">
        <v>110320</v>
      </c>
      <c r="U44" s="46">
        <v>110321</v>
      </c>
      <c r="V44" s="46">
        <v>110322</v>
      </c>
      <c r="W44" s="46">
        <v>110323</v>
      </c>
      <c r="X44" s="46">
        <v>110324</v>
      </c>
      <c r="Y44" s="46">
        <v>110325</v>
      </c>
      <c r="Z44" s="46">
        <v>110326</v>
      </c>
      <c r="AA44" s="46">
        <v>110327</v>
      </c>
      <c r="AB44" s="46">
        <v>110328</v>
      </c>
      <c r="AC44" s="46"/>
      <c r="AD44" s="46">
        <v>110330</v>
      </c>
      <c r="AE44" s="46">
        <v>110331</v>
      </c>
      <c r="AF44" s="46">
        <v>110332</v>
      </c>
      <c r="AG44" s="46">
        <v>110333</v>
      </c>
      <c r="AH44" s="46">
        <v>110334</v>
      </c>
      <c r="AI44" s="46">
        <v>110335</v>
      </c>
      <c r="AJ44" s="46">
        <v>110336</v>
      </c>
      <c r="AK44" s="46">
        <v>110337</v>
      </c>
      <c r="AL44" s="46">
        <v>110338</v>
      </c>
      <c r="AM44" s="46">
        <v>110339</v>
      </c>
    </row>
    <row r="45" spans="1:39" ht="32.1" customHeight="1">
      <c r="A45" s="118"/>
      <c r="B45" s="96" t="str">
        <f>VLOOKUP("lfm",Sprachindex!A:Z,Info!$O$6,FALSE)</f>
        <v>lfm</v>
      </c>
      <c r="C45" s="95"/>
      <c r="D45" s="95">
        <f>IF(AND($N$9=2,$N$21=1),T45,IF(AND($N$9=2,$N$21=4),U45,IF(AND($N$9=2,$N$21=5),V45,IF(AND($N$9=2,$N$21=11),W45,IF(AND($N$9=2,$N$21=7),X45,IF(AND($N$9=2,$N$21=3),Y45,IF(AND($N$9=2,$N$21=6),Z45,IF(AND($N$9=2,$N$21=9),AA45,IF(AND($N$9=2,$N$21=2),AB45,IF(AND($N$9=2,$N$21=8),AC45,IF(AND($N$9=1,$N$21=1),AD45,IF(AND($N$9=1,$N$21=1),AD45,IF(AND($N$9=1,$N$21=4),AE45,IF(AND($N$9=1,$N$21=5),AF45,IF(AND($N$9=1,$N$21=11),AG45,IF(AND($N$9=1,$N$21=7),AH45,IF(AND($N$9=1,$N$21=3),AI45,IF(AND($N$9=1,$N$21=6),AJ45,IF(AND($N$9=1,$N$21=9),AK45,IF(AND($N$9=1,$N$21=2),AL45,IF(AND($N$9=1,$N$21=8),AM45,0)))))))))))))))))))))</f>
        <v>0</v>
      </c>
      <c r="E45" s="250" t="str">
        <f>VLOOKUP("Jet-Lüfter 1.2m lang",Sprachindex!A:Z,Info!$O$6,FALSE)</f>
        <v>Jet-Lüfter 1.2m lang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71"/>
      <c r="P45" s="191" t="str">
        <f>ROUNDUP($A45/1.2,0)*1.2 &amp;" " &amp; Formeln!$A$112 &amp; "                " &amp; "(="&amp;ROUNDUP($A45/1.2,0) &amp; " " &amp;Formeln!$A$111 &amp; ")"</f>
        <v>0 lfm                (=0 STK)</v>
      </c>
      <c r="Q45" s="191" t="str">
        <f>ROUNDUP($A45/1.2,0)*1.2 &amp;" " &amp; Formeln!$A$112 &amp; "                " &amp; "(="&amp;ROUNDUP($A45/1.2,0) &amp; " " &amp;Formeln!$A$111 &amp; ")"</f>
        <v>0 lfm                (=0 STK)</v>
      </c>
      <c r="R45" s="187"/>
      <c r="T45" s="46">
        <v>110640</v>
      </c>
      <c r="U45" s="46">
        <v>110641</v>
      </c>
      <c r="V45" s="46">
        <v>110642</v>
      </c>
      <c r="W45" s="46">
        <v>110643</v>
      </c>
      <c r="X45" s="46">
        <v>110644</v>
      </c>
      <c r="Y45" s="46">
        <v>110645</v>
      </c>
      <c r="Z45" s="46">
        <v>110646</v>
      </c>
      <c r="AA45" s="46">
        <v>110647</v>
      </c>
      <c r="AB45" s="46">
        <v>110648</v>
      </c>
      <c r="AC45" s="46"/>
      <c r="AD45" s="46">
        <v>110650</v>
      </c>
      <c r="AE45" s="46">
        <v>110651</v>
      </c>
      <c r="AF45" s="46">
        <v>110652</v>
      </c>
      <c r="AG45" s="46">
        <v>110653</v>
      </c>
      <c r="AH45" s="46">
        <v>110654</v>
      </c>
      <c r="AI45" s="46">
        <v>110655</v>
      </c>
      <c r="AJ45" s="46">
        <v>110656</v>
      </c>
      <c r="AK45" s="46">
        <v>110657</v>
      </c>
      <c r="AL45" s="46">
        <v>110658</v>
      </c>
      <c r="AM45" s="46">
        <v>110659</v>
      </c>
    </row>
    <row r="46" spans="1:39" ht="32.1" customHeight="1">
      <c r="A46" s="118"/>
      <c r="B46" s="96" t="str">
        <f>VLOOKUP("lfm",Sprachindex!A:Z,Info!$O$6,FALSE)</f>
        <v>lfm</v>
      </c>
      <c r="C46" s="95"/>
      <c r="D46" s="95">
        <f>IF(AND($N$9=2,$N$21=1),T46,IF(AND($N$9=2,$N$21=4),U46,IF(AND($N$9=2,$N$21=5),V46,IF(AND($N$9=2,$N$21=11),W46,IF(AND($N$9=2,$N$21=7),X46,IF(AND($N$9=2,$N$21=3),Y46,IF(AND($N$9=2,$N$21=6),Z46,IF(AND($N$9=2,$N$21=9),AA46,IF(AND($N$9=2,$N$21=2),AB46,IF(AND($N$9=2,$N$21=8),AC46,IF(AND($N$9=1,$N$21=1),AD46,IF(AND($N$9=1,$N$21=1),AD46,IF(AND($N$9=1,$N$21=4),AE46,IF(AND($N$9=1,$N$21=5),AF46,IF(AND($N$9=1,$N$21=11),AG46,IF(AND($N$9=1,$N$21=7),AH46,IF(AND($N$9=1,$N$21=3),AI46,IF(AND($N$9=1,$N$21=6),AJ46,IF(AND($N$9=1,$N$21=9),AK46,IF(AND($N$9=1,$N$21=2),AL46,IF(AND($N$9=1,$N$21=8),AM46,0)))))))))))))))))))))</f>
        <v>0</v>
      </c>
      <c r="E46" s="250" t="str">
        <f>VLOOKUP("Jet-Lüfter",Sprachindex!A:Z,Info!$O$6,FALSE)</f>
        <v>Jet-Lüfter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71"/>
      <c r="P46" s="191" t="str">
        <f>ROUNDUP($A46/9,0)*9 &amp;" " &amp; Formeln!$A$112 &amp; "                " &amp; "(="&amp;ROUNDUP($A46/9,0)*3 &amp; " " &amp;Formeln!$A$111 &amp; ")"</f>
        <v>0 lfm                (=0 STK)</v>
      </c>
      <c r="Q46" s="191" t="str">
        <f>ROUNDUP($A46/3,0)*3 &amp;" " &amp; Formeln!$A$112 &amp; "                " &amp; "(="&amp;ROUNDUP($A46/3,0) &amp; " " &amp;Formeln!$A$111 &amp; ")"</f>
        <v>0 lfm                (=0 STK)</v>
      </c>
      <c r="R46" s="187"/>
      <c r="T46" s="46">
        <v>110620</v>
      </c>
      <c r="U46" s="46">
        <v>110621</v>
      </c>
      <c r="V46" s="46">
        <v>110622</v>
      </c>
      <c r="W46" s="46">
        <v>110623</v>
      </c>
      <c r="X46" s="46">
        <v>110624</v>
      </c>
      <c r="Y46" s="46">
        <v>110625</v>
      </c>
      <c r="Z46" s="46">
        <v>110626</v>
      </c>
      <c r="AA46" s="46">
        <v>110627</v>
      </c>
      <c r="AB46" s="46">
        <v>110628</v>
      </c>
      <c r="AC46" s="46"/>
      <c r="AD46" s="46">
        <v>110630</v>
      </c>
      <c r="AE46" s="46">
        <v>110631</v>
      </c>
      <c r="AF46" s="46">
        <v>110632</v>
      </c>
      <c r="AG46" s="46">
        <v>110633</v>
      </c>
      <c r="AH46" s="46">
        <v>110634</v>
      </c>
      <c r="AI46" s="46">
        <v>110635</v>
      </c>
      <c r="AJ46" s="46">
        <v>110636</v>
      </c>
      <c r="AK46" s="46">
        <v>110637</v>
      </c>
      <c r="AL46" s="46">
        <v>110638</v>
      </c>
      <c r="AM46" s="46">
        <v>110639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 t="shared" si="1"/>
        <v>0</v>
      </c>
      <c r="E47" s="250" t="str">
        <f>VLOOKUP("Jet-Lüfter-Vorkopf",Sprachindex!A:Z,Info!$O$6,FALSE)</f>
        <v>Jet-Lüfter-Vorkopf</v>
      </c>
      <c r="F47" s="251"/>
      <c r="G47" s="251"/>
      <c r="H47" s="251"/>
      <c r="I47" s="251"/>
      <c r="J47" s="251"/>
      <c r="K47" s="257"/>
      <c r="L47" s="96" t="str">
        <f t="shared" si="0"/>
        <v/>
      </c>
      <c r="M47" s="97"/>
      <c r="O47" s="171"/>
      <c r="P47" s="191" t="str">
        <f>ROUNDUP($A47/2,0)*2 &amp;" " &amp; Formeln!$A$111</f>
        <v>0 STK</v>
      </c>
      <c r="Q47" s="191" t="str">
        <f>ROUNDUP($A47/1,0)*1 &amp;" " &amp; Formeln!$A$111</f>
        <v>0 STK</v>
      </c>
      <c r="R47" s="187"/>
      <c r="T47" s="46">
        <v>110600</v>
      </c>
      <c r="U47" s="46">
        <v>110601</v>
      </c>
      <c r="V47" s="46">
        <v>110602</v>
      </c>
      <c r="W47" s="46">
        <v>110603</v>
      </c>
      <c r="X47" s="46">
        <v>110604</v>
      </c>
      <c r="Y47" s="46">
        <v>110605</v>
      </c>
      <c r="Z47" s="46">
        <v>110606</v>
      </c>
      <c r="AA47" s="46">
        <v>110607</v>
      </c>
      <c r="AB47" s="46">
        <v>110608</v>
      </c>
      <c r="AC47" s="46"/>
      <c r="AD47" s="46">
        <v>110610</v>
      </c>
      <c r="AE47" s="46">
        <v>110611</v>
      </c>
      <c r="AF47" s="46">
        <v>110612</v>
      </c>
      <c r="AG47" s="46">
        <v>110613</v>
      </c>
      <c r="AH47" s="46">
        <v>110614</v>
      </c>
      <c r="AI47" s="46">
        <v>110615</v>
      </c>
      <c r="AJ47" s="46">
        <v>110616</v>
      </c>
      <c r="AK47" s="46">
        <v>110617</v>
      </c>
      <c r="AL47" s="46">
        <v>110618</v>
      </c>
      <c r="AM47" s="46">
        <v>110619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0" t="str">
        <f>VLOOKUP("Dichtschraube NIRO, 4,5x25",Sprachindex!A:Z,Info!$O$6,FALSE)</f>
        <v>Dichtschraube NIRO, 4,5x25</v>
      </c>
      <c r="F48" s="251"/>
      <c r="G48" s="251"/>
      <c r="H48" s="251"/>
      <c r="I48" s="251"/>
      <c r="J48" s="251"/>
      <c r="K48" s="257"/>
      <c r="L48" s="96" t="str">
        <f>IF(A48=0,"",IF($N$11=1,P48,Q48))</f>
        <v/>
      </c>
      <c r="M48" s="97"/>
      <c r="O48" s="171"/>
      <c r="P48" s="191" t="str">
        <f>ROUNDUP($A48/200,0)*200 &amp;" " &amp; Formeln!$A$111</f>
        <v>0 STK</v>
      </c>
      <c r="Q48" s="191" t="str">
        <f>ROUNDUP($A48,0) &amp;" " &amp; Formeln!$A$111</f>
        <v>0 STK</v>
      </c>
      <c r="R48" s="187"/>
      <c r="T48" s="46">
        <v>340041</v>
      </c>
      <c r="U48" s="46">
        <v>340042</v>
      </c>
      <c r="V48" s="46">
        <v>340043</v>
      </c>
      <c r="W48" s="46">
        <v>340044</v>
      </c>
      <c r="X48" s="179"/>
      <c r="Y48" s="46">
        <v>340045</v>
      </c>
      <c r="Z48" s="46">
        <v>340046</v>
      </c>
      <c r="AA48" s="46">
        <v>340047</v>
      </c>
      <c r="AB48" s="46">
        <v>340048</v>
      </c>
      <c r="AC48" s="46">
        <v>340049</v>
      </c>
      <c r="AD48" s="1" t="s">
        <v>48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IF(H49=Formeln!A15,IF($N$21=1,T49,IF($N$21=4,U49,IF($N$21=5,V49,IF($N$21=11,W49,IF($N$21=7,X49,IF($N$21=3,Y49,IF($N$21=6,Z49,IF($N$21=9,AA49,IF($N$21=2,AB49,IF($N$21=8,AC49,0)))))))))),IF(H49=Formeln!A16,AD49,0))</f>
        <v>0</v>
      </c>
      <c r="E49" s="250" t="str">
        <f>VLOOKUP("Dichtschraube NIRO",Sprachindex!A:Z,Info!$O$6,FALSE)</f>
        <v>Dichtschraube NIRO</v>
      </c>
      <c r="F49" s="251"/>
      <c r="G49" s="251"/>
      <c r="H49" s="252"/>
      <c r="I49" s="267"/>
      <c r="J49" s="267"/>
      <c r="K49" s="253"/>
      <c r="L49" s="96" t="str">
        <f>IF(A49=0,"",IF(H49=Formeln!$A$14," ",IF($N$11=1,P49,Q49)))</f>
        <v/>
      </c>
      <c r="M49" s="97"/>
      <c r="O49" s="171" t="s">
        <v>49</v>
      </c>
      <c r="P49" s="191" t="str">
        <f>ROUNDUP($A49/250,0)*250 &amp;" " &amp; Formeln!$A$111</f>
        <v>0 STK</v>
      </c>
      <c r="Q49" s="191" t="str">
        <f>ROUNDUP($A49,0) &amp;" " &amp; Formeln!$A$111</f>
        <v>0 STK</v>
      </c>
      <c r="R49" s="187"/>
      <c r="T49" s="46">
        <v>340001</v>
      </c>
      <c r="U49" s="46">
        <v>340004</v>
      </c>
      <c r="V49" s="46">
        <v>340003</v>
      </c>
      <c r="W49" s="46">
        <v>340104</v>
      </c>
      <c r="Y49" s="46">
        <v>340002</v>
      </c>
      <c r="Z49" s="46">
        <v>340016</v>
      </c>
      <c r="AA49" s="46">
        <v>340011</v>
      </c>
      <c r="AB49" s="46">
        <v>340014</v>
      </c>
      <c r="AC49" s="46">
        <v>340013</v>
      </c>
      <c r="AD49" s="1">
        <v>340103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f>IF(H50=Formeln!A18,IF($N$21=1,T50,IF($N$21=4,U50,IF($N$21=5,V50,IF($N$21=11,W50,IF($N$21=7,X50,IF($N$21=3,Y50,IF($N$21=6,Z50,IF($N$21=9,AA50,IF($N$21=2,AB50,IF($N$21=8,AC50,0)))))))))),IF(H50=Formeln!A19,AD50,0))</f>
        <v>0</v>
      </c>
      <c r="E50" s="250" t="str">
        <f>VLOOKUP("Dichtschraube NIRO",Sprachindex!A:Z,Info!$O$6,FALSE)</f>
        <v>Dichtschraube NIRO</v>
      </c>
      <c r="F50" s="251"/>
      <c r="G50" s="251"/>
      <c r="H50" s="252"/>
      <c r="I50" s="267"/>
      <c r="J50" s="267"/>
      <c r="K50" s="253"/>
      <c r="L50" s="96" t="str">
        <f>IF(A50=0,"",IF(H50=Formeln!$A$14," ",IF($N$11=1,P50,Q50)))</f>
        <v/>
      </c>
      <c r="M50" s="97"/>
      <c r="O50" s="171" t="s">
        <v>49</v>
      </c>
      <c r="P50" s="191" t="str">
        <f>ROUNDUP($A50/100,0)*100 &amp;" " &amp; Formeln!$A$111</f>
        <v>0 STK</v>
      </c>
      <c r="Q50" s="191" t="str">
        <f>ROUNDUP($A50,0) &amp;" " &amp; Formeln!$A$111</f>
        <v>0 STK</v>
      </c>
      <c r="R50" s="187"/>
      <c r="T50" s="46">
        <v>340020</v>
      </c>
      <c r="U50" s="46">
        <v>340024</v>
      </c>
      <c r="V50" s="46">
        <v>340022</v>
      </c>
      <c r="W50" s="46">
        <v>340021</v>
      </c>
      <c r="Y50" s="46">
        <v>340025</v>
      </c>
      <c r="Z50" s="46">
        <v>340032</v>
      </c>
      <c r="AA50" s="46">
        <v>340027</v>
      </c>
      <c r="AB50" s="46">
        <v>340030</v>
      </c>
      <c r="AC50" s="46">
        <v>340036</v>
      </c>
      <c r="AD50" s="1">
        <v>340106</v>
      </c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f>IF($N$21=1,T51,IF($N$21=4,U51,IF($N$21=5,V51,IF($N$21=11,W51,IF($N$21=7,X51,IF($N$21=3,Y51,IF($N$21=6,Z51,IF($N$21=9,AA51,IF($N$21=2,AB51,IF($N$21=8,AC51,0))))))))))</f>
        <v>0</v>
      </c>
      <c r="E51" s="250" t="str">
        <f>VLOOKUP("Froschmaullukenhaube",Sprachindex!A:Z,Info!$O$6,FALSE)</f>
        <v>Froschmaullukenhaube</v>
      </c>
      <c r="F51" s="251"/>
      <c r="G51" s="251"/>
      <c r="H51" s="251"/>
      <c r="I51" s="251"/>
      <c r="J51" s="251"/>
      <c r="K51" s="257"/>
      <c r="L51" s="96" t="str">
        <f t="shared" si="0"/>
        <v/>
      </c>
      <c r="M51" s="97"/>
      <c r="O51" s="171"/>
      <c r="P51" s="191" t="str">
        <f>ROUNDUP($A51/20,0)*20 &amp;" " &amp; Formeln!$A$111</f>
        <v>0 STK</v>
      </c>
      <c r="Q51" s="191" t="str">
        <f>ROUNDUP($A51,0) &amp;" " &amp; Formeln!$A$111</f>
        <v>0 STK</v>
      </c>
      <c r="R51" s="187"/>
      <c r="T51" s="46">
        <v>110100</v>
      </c>
      <c r="U51" s="46">
        <v>110101</v>
      </c>
      <c r="V51" s="46">
        <v>110102</v>
      </c>
      <c r="W51" s="46">
        <v>110103</v>
      </c>
      <c r="X51" s="46">
        <v>110104</v>
      </c>
      <c r="Y51" s="46">
        <v>110105</v>
      </c>
      <c r="Z51" s="46">
        <v>110106</v>
      </c>
      <c r="AA51" s="46">
        <v>110107</v>
      </c>
      <c r="AB51" s="46">
        <v>110108</v>
      </c>
      <c r="AC51" s="46">
        <v>121005</v>
      </c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250" t="str">
        <f>VLOOKUP("Froschmaulluke, für Dachplatte",Sprachindex!A:Z,Info!$O$6,FALSE)</f>
        <v>Froschmaulluke, für Dachplatte</v>
      </c>
      <c r="F52" s="251"/>
      <c r="G52" s="251"/>
      <c r="H52" s="251"/>
      <c r="I52" s="251"/>
      <c r="J52" s="251"/>
      <c r="K52" s="257"/>
      <c r="L52" s="96" t="str">
        <f t="shared" si="0"/>
        <v/>
      </c>
      <c r="M52" s="97"/>
      <c r="O52" s="171"/>
      <c r="P52" s="191" t="str">
        <f>ROUNDUP($A52/15,0)*15 &amp;" " &amp; Formeln!$A$111</f>
        <v>0 STK</v>
      </c>
      <c r="Q52" s="191" t="str">
        <f>ROUNDUP($A52,0) &amp;" " &amp; Formeln!$A$111</f>
        <v>0 STK</v>
      </c>
      <c r="R52" s="187"/>
      <c r="T52" s="46">
        <v>110110</v>
      </c>
      <c r="U52" s="46">
        <v>110111</v>
      </c>
      <c r="V52" s="46">
        <v>110112</v>
      </c>
      <c r="W52" s="46">
        <v>110113</v>
      </c>
      <c r="X52" s="46">
        <v>110114</v>
      </c>
      <c r="Y52" s="46">
        <v>110115</v>
      </c>
      <c r="Z52" s="46">
        <v>110116</v>
      </c>
      <c r="AA52" s="46">
        <v>110117</v>
      </c>
      <c r="AB52" s="46">
        <v>110118</v>
      </c>
      <c r="AC52" s="46"/>
      <c r="AD52" s="46">
        <v>110120</v>
      </c>
      <c r="AE52" s="46">
        <v>110121</v>
      </c>
      <c r="AF52" s="46">
        <v>110122</v>
      </c>
      <c r="AG52" s="46">
        <v>110123</v>
      </c>
      <c r="AH52" s="46">
        <v>110124</v>
      </c>
      <c r="AI52" s="46">
        <v>110125</v>
      </c>
      <c r="AJ52" s="46">
        <v>110126</v>
      </c>
      <c r="AK52" s="46">
        <v>110127</v>
      </c>
      <c r="AL52" s="46">
        <v>110128</v>
      </c>
      <c r="AM52" s="46">
        <v>110129</v>
      </c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v>545106</v>
      </c>
      <c r="E53" s="261" t="str">
        <f>VLOOKUP("Einfassung Vario, 120-600 mm, stucco",Sprachindex!A:Z,Info!$O$6,FALSE)</f>
        <v>Einfassung Vario, 120-600 mm, stucco</v>
      </c>
      <c r="F53" s="262"/>
      <c r="G53" s="262"/>
      <c r="H53" s="262"/>
      <c r="I53" s="262"/>
      <c r="J53" s="262"/>
      <c r="K53" s="263"/>
      <c r="L53" s="96" t="str">
        <f t="shared" ref="L53" si="2">IF(A53=0,"",IF($N$11=1,P53,Q53))</f>
        <v/>
      </c>
      <c r="M53" s="97"/>
      <c r="O53" s="171"/>
      <c r="P53" s="191" t="str">
        <f>ROUNDUP($A53,0) &amp;" " &amp; Formeln!$A$111</f>
        <v>0 STK</v>
      </c>
      <c r="Q53" s="191" t="str">
        <f>ROUNDUP($A53,0) &amp;" " &amp; Formeln!$A$111</f>
        <v>0 STK</v>
      </c>
      <c r="R53" s="187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v>545106</v>
      </c>
      <c r="E54" s="261" t="str">
        <f>VLOOKUP("Einfassung Vario, 600-1.020 mm, stucco",Sprachindex!A:Z,Info!$O$6,FALSE)</f>
        <v>Einfassung Vario, 600-1.020 mm, stucco</v>
      </c>
      <c r="F54" s="262"/>
      <c r="G54" s="262"/>
      <c r="H54" s="262"/>
      <c r="I54" s="262"/>
      <c r="J54" s="262"/>
      <c r="K54" s="263"/>
      <c r="L54" s="96" t="str">
        <f t="shared" ref="L54" si="3">IF(A54=0,"",IF($N$11=1,P54,Q54))</f>
        <v/>
      </c>
      <c r="M54" s="97"/>
      <c r="O54" s="171"/>
      <c r="P54" s="191" t="str">
        <f>ROUNDUP($A54,0) &amp;" " &amp; Formeln!$A$111</f>
        <v>0 STK</v>
      </c>
      <c r="Q54" s="191" t="str">
        <f>ROUNDUP($A54,0) &amp;" " &amp; Formeln!$A$111</f>
        <v>0 STK</v>
      </c>
      <c r="R54" s="187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261" t="str">
        <f>VLOOKUP("Dachausstiegsluke, 600x600mm",Sprachindex!A:Z,Info!$O$6,FALSE)</f>
        <v>Dachausstiegsluke, 600x600mm</v>
      </c>
      <c r="F55" s="262"/>
      <c r="G55" s="262"/>
      <c r="H55" s="262"/>
      <c r="I55" s="262"/>
      <c r="J55" s="262"/>
      <c r="K55" s="263"/>
      <c r="L55" s="96" t="str">
        <f t="shared" si="0"/>
        <v/>
      </c>
      <c r="M55" s="97"/>
      <c r="O55" s="171"/>
      <c r="P55" s="191" t="str">
        <f>ROUNDUP($A55,0) &amp;" " &amp; Formeln!$A$111</f>
        <v>0 STK</v>
      </c>
      <c r="Q55" s="191" t="str">
        <f>ROUNDUP($A55,0) &amp;" " &amp; Formeln!$A$111</f>
        <v>0 STK</v>
      </c>
      <c r="R55" s="187"/>
      <c r="T55" s="46">
        <v>110020</v>
      </c>
      <c r="U55" s="46">
        <v>110021</v>
      </c>
      <c r="V55" s="46">
        <v>110022</v>
      </c>
      <c r="W55" s="46">
        <v>110023</v>
      </c>
      <c r="X55" s="46">
        <v>110024</v>
      </c>
      <c r="Y55" s="46">
        <v>110025</v>
      </c>
      <c r="Z55" s="46">
        <v>110026</v>
      </c>
      <c r="AA55" s="46">
        <v>110027</v>
      </c>
      <c r="AB55" s="46">
        <v>110028</v>
      </c>
      <c r="AC55" s="46"/>
      <c r="AD55" s="46">
        <v>110030</v>
      </c>
      <c r="AE55" s="46">
        <v>110031</v>
      </c>
      <c r="AF55" s="46">
        <v>110032</v>
      </c>
      <c r="AG55" s="46">
        <v>110033</v>
      </c>
      <c r="AH55" s="46">
        <v>110034</v>
      </c>
      <c r="AI55" s="46">
        <v>110035</v>
      </c>
      <c r="AJ55" s="46">
        <v>110036</v>
      </c>
      <c r="AK55" s="46">
        <v>110037</v>
      </c>
      <c r="AL55" s="46">
        <v>110038</v>
      </c>
      <c r="AM55" s="46">
        <v>110039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250" t="str">
        <f>VLOOKUP("VELUX Einfassung",Sprachindex!A:Z,Info!$O$6,FALSE)</f>
        <v>VELUX Einfassung</v>
      </c>
      <c r="F56" s="251"/>
      <c r="G56" s="251"/>
      <c r="H56" s="251"/>
      <c r="I56" s="101" t="str">
        <f>VLOOKUP("Maße:",Sprachindex!A:Z,Info!$O$6,FALSE)</f>
        <v>Maße:</v>
      </c>
      <c r="J56" s="252"/>
      <c r="K56" s="253"/>
      <c r="L56" s="96" t="str">
        <f>IF($A56=0,"",IF($J56=Formeln!$A$27," ",IF($N$11=1,P56,Q56)))</f>
        <v/>
      </c>
      <c r="M56" s="97"/>
      <c r="O56" s="171"/>
      <c r="P56" s="191" t="str">
        <f>ROUNDUP($A56,0) &amp;" " &amp; Formeln!$A$111</f>
        <v>0 STK</v>
      </c>
      <c r="Q56" s="191" t="str">
        <f>ROUNDUP($A56,0) &amp;" " &amp; Formeln!$A$111</f>
        <v>0 STK</v>
      </c>
      <c r="R56" s="187"/>
      <c r="T56" s="46"/>
      <c r="U56" s="50"/>
      <c r="V56" s="50"/>
      <c r="W56" s="50"/>
      <c r="X56" s="50"/>
      <c r="Y56" s="50"/>
      <c r="Z56" s="50"/>
      <c r="AA56" s="50"/>
      <c r="AB56" s="50"/>
      <c r="AD56" s="50">
        <v>111100</v>
      </c>
      <c r="AE56" s="50">
        <v>111101</v>
      </c>
      <c r="AF56" s="50">
        <v>111102</v>
      </c>
      <c r="AG56" s="50">
        <v>111103</v>
      </c>
      <c r="AH56" s="50">
        <v>111104</v>
      </c>
      <c r="AI56" s="50">
        <v>111105</v>
      </c>
      <c r="AJ56" s="50">
        <v>111106</v>
      </c>
      <c r="AK56" s="50">
        <v>111107</v>
      </c>
      <c r="AL56" s="50">
        <v>111108</v>
      </c>
      <c r="AM56" s="229">
        <v>111109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51"/>
      <c r="AP56" s="50"/>
      <c r="AQ56" s="50"/>
      <c r="AR56" s="50"/>
      <c r="AS56" s="50"/>
      <c r="AT56" s="50"/>
      <c r="AU56" s="50"/>
      <c r="AV56" s="50"/>
      <c r="AW56" s="50"/>
      <c r="AY56" s="50">
        <v>111100</v>
      </c>
      <c r="AZ56" s="50">
        <v>111101</v>
      </c>
      <c r="BA56" s="50">
        <v>111102</v>
      </c>
      <c r="BB56" s="50">
        <v>111103</v>
      </c>
      <c r="BC56" s="50">
        <v>111104</v>
      </c>
      <c r="BD56" s="50">
        <v>111105</v>
      </c>
      <c r="BE56" s="50">
        <v>111106</v>
      </c>
      <c r="BF56" s="50">
        <v>111107</v>
      </c>
      <c r="BG56" s="50">
        <v>111108</v>
      </c>
      <c r="BH56" s="229">
        <v>111109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51"/>
      <c r="BK56" s="50"/>
      <c r="BL56" s="50"/>
      <c r="BM56" s="50"/>
      <c r="BN56" s="50"/>
      <c r="BO56" s="50"/>
      <c r="BP56" s="50"/>
      <c r="BQ56" s="50"/>
      <c r="BR56" s="50"/>
      <c r="BT56" s="50">
        <v>111100</v>
      </c>
      <c r="BU56" s="50">
        <v>111101</v>
      </c>
      <c r="BV56" s="50">
        <v>111102</v>
      </c>
      <c r="BW56" s="50">
        <v>111103</v>
      </c>
      <c r="BX56" s="50">
        <v>111104</v>
      </c>
      <c r="BY56" s="50">
        <v>111105</v>
      </c>
      <c r="BZ56" s="50">
        <v>111106</v>
      </c>
      <c r="CA56" s="50">
        <v>111107</v>
      </c>
      <c r="CB56" s="50">
        <v>111108</v>
      </c>
      <c r="CC56" s="229">
        <v>111109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51"/>
      <c r="CF56" s="46"/>
      <c r="CG56" s="46"/>
      <c r="CH56" s="46"/>
      <c r="CI56" s="46"/>
      <c r="CJ56" s="46"/>
      <c r="CK56" s="46"/>
      <c r="CL56" s="46"/>
      <c r="CM56" s="46"/>
      <c r="CO56" s="46">
        <v>111120</v>
      </c>
      <c r="CP56" s="46">
        <v>111121</v>
      </c>
      <c r="CQ56" s="46">
        <v>111122</v>
      </c>
      <c r="CR56" s="46">
        <v>111123</v>
      </c>
      <c r="CS56" s="46">
        <v>111124</v>
      </c>
      <c r="CT56" s="46">
        <v>111125</v>
      </c>
      <c r="CU56" s="46">
        <v>111126</v>
      </c>
      <c r="CV56" s="46">
        <v>111127</v>
      </c>
      <c r="CW56" s="46">
        <v>111128</v>
      </c>
      <c r="CX56" s="229">
        <v>111129</v>
      </c>
      <c r="CY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51"/>
      <c r="DA56" s="46"/>
      <c r="DB56" s="46"/>
      <c r="DC56" s="46"/>
      <c r="DD56" s="46"/>
      <c r="DE56" s="46"/>
      <c r="DF56" s="46"/>
      <c r="DG56" s="46"/>
      <c r="DH56" s="46"/>
      <c r="DJ56" s="46">
        <v>111120</v>
      </c>
      <c r="DK56" s="46">
        <v>111121</v>
      </c>
      <c r="DL56" s="46">
        <v>111122</v>
      </c>
      <c r="DM56" s="46">
        <v>111123</v>
      </c>
      <c r="DN56" s="46">
        <v>111124</v>
      </c>
      <c r="DO56" s="46">
        <v>111125</v>
      </c>
      <c r="DP56" s="46">
        <v>111126</v>
      </c>
      <c r="DQ56" s="46">
        <v>111127</v>
      </c>
      <c r="DR56" s="46">
        <v>111128</v>
      </c>
      <c r="DS56" s="229">
        <v>111129</v>
      </c>
      <c r="DT56" s="52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51"/>
      <c r="DV56" s="46"/>
      <c r="DW56" s="46"/>
      <c r="DX56" s="46"/>
      <c r="DY56" s="46"/>
      <c r="DZ56" s="46"/>
      <c r="EA56" s="46"/>
      <c r="EB56" s="46"/>
      <c r="EC56" s="46"/>
      <c r="EE56" s="46">
        <v>111120</v>
      </c>
      <c r="EF56" s="46">
        <v>111121</v>
      </c>
      <c r="EG56" s="46">
        <v>111122</v>
      </c>
      <c r="EH56" s="46">
        <v>111123</v>
      </c>
      <c r="EI56" s="46">
        <v>111124</v>
      </c>
      <c r="EJ56" s="46">
        <v>111125</v>
      </c>
      <c r="EK56" s="46">
        <v>111126</v>
      </c>
      <c r="EL56" s="46">
        <v>111127</v>
      </c>
      <c r="EM56" s="46">
        <v>111128</v>
      </c>
      <c r="EN56" s="229">
        <v>111129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51">
        <v>111170</v>
      </c>
      <c r="EQ56" s="46"/>
      <c r="ER56" s="46"/>
      <c r="ES56" s="46"/>
      <c r="ET56" s="46"/>
      <c r="EU56" s="46"/>
      <c r="EV56" s="46"/>
      <c r="EW56" s="46"/>
      <c r="EX56" s="46"/>
      <c r="EZ56" s="46">
        <v>111160</v>
      </c>
      <c r="FA56" s="46">
        <v>111161</v>
      </c>
      <c r="FB56" s="46">
        <v>111162</v>
      </c>
      <c r="FC56" s="46">
        <v>111163</v>
      </c>
      <c r="FD56" s="46">
        <v>111164</v>
      </c>
      <c r="FE56" s="46">
        <v>111165</v>
      </c>
      <c r="FF56" s="46">
        <v>111166</v>
      </c>
      <c r="FG56" s="46">
        <v>111167</v>
      </c>
      <c r="FH56" s="46">
        <v>111168</v>
      </c>
      <c r="FI56" s="229">
        <v>111169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51"/>
      <c r="FL56" s="46"/>
      <c r="FM56" s="46"/>
      <c r="FN56" s="46"/>
      <c r="FO56" s="46"/>
      <c r="FP56" s="46"/>
      <c r="FQ56" s="46"/>
      <c r="FR56" s="46"/>
      <c r="FS56" s="46"/>
      <c r="FU56" s="46">
        <v>111160</v>
      </c>
      <c r="FV56" s="46">
        <v>111161</v>
      </c>
      <c r="FW56" s="46">
        <v>111162</v>
      </c>
      <c r="FX56" s="46">
        <v>111163</v>
      </c>
      <c r="FY56" s="46">
        <v>111164</v>
      </c>
      <c r="FZ56" s="46">
        <v>111165</v>
      </c>
      <c r="GA56" s="46">
        <v>111166</v>
      </c>
      <c r="GB56" s="46">
        <v>111167</v>
      </c>
      <c r="GC56" s="46">
        <v>111168</v>
      </c>
      <c r="GD56" s="229">
        <v>111169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51"/>
      <c r="GG56" s="46"/>
      <c r="GH56" s="46"/>
      <c r="GI56" s="46"/>
      <c r="GJ56" s="46"/>
      <c r="GK56" s="46"/>
      <c r="GL56" s="46"/>
      <c r="GM56" s="46"/>
      <c r="GN56" s="46"/>
      <c r="GP56" s="46">
        <v>111160</v>
      </c>
      <c r="GQ56" s="46">
        <v>111161</v>
      </c>
      <c r="GR56" s="46">
        <v>111162</v>
      </c>
      <c r="GS56" s="46">
        <v>111163</v>
      </c>
      <c r="GT56" s="46">
        <v>111164</v>
      </c>
      <c r="GU56" s="46">
        <v>111165</v>
      </c>
      <c r="GV56" s="46">
        <v>111166</v>
      </c>
      <c r="GW56" s="46">
        <v>111167</v>
      </c>
      <c r="GX56" s="46">
        <v>111168</v>
      </c>
      <c r="GY56" s="230">
        <v>111169</v>
      </c>
      <c r="GZ56" s="52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51"/>
      <c r="HB56" s="46"/>
      <c r="HC56" s="46"/>
      <c r="HD56" s="46"/>
      <c r="HE56" s="46"/>
      <c r="HF56" s="46"/>
      <c r="HG56" s="46"/>
      <c r="HH56" s="46"/>
      <c r="HI56" s="46"/>
      <c r="HK56" s="46">
        <v>111280</v>
      </c>
      <c r="HL56" s="46">
        <v>111281</v>
      </c>
      <c r="HM56" s="46">
        <v>111282</v>
      </c>
      <c r="HN56" s="46">
        <v>111283</v>
      </c>
      <c r="HO56" s="46">
        <v>111284</v>
      </c>
      <c r="HP56" s="46">
        <v>111285</v>
      </c>
      <c r="HQ56" s="46">
        <v>111286</v>
      </c>
      <c r="HR56" s="46">
        <v>111287</v>
      </c>
      <c r="HS56" s="46">
        <v>111288</v>
      </c>
      <c r="HT56" s="230">
        <v>111289</v>
      </c>
      <c r="HU56" s="52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51"/>
      <c r="HW56" s="46"/>
      <c r="HX56" s="46"/>
      <c r="HY56" s="46"/>
      <c r="HZ56" s="46"/>
      <c r="IA56" s="46"/>
      <c r="IB56" s="46"/>
      <c r="IC56" s="46"/>
      <c r="ID56" s="46"/>
      <c r="IF56" s="46">
        <v>111280</v>
      </c>
      <c r="IG56" s="46">
        <v>111281</v>
      </c>
      <c r="IH56" s="46">
        <v>111282</v>
      </c>
      <c r="II56" s="46">
        <v>111283</v>
      </c>
      <c r="IJ56" s="46">
        <v>111284</v>
      </c>
      <c r="IK56" s="46">
        <v>111285</v>
      </c>
      <c r="IL56" s="46">
        <v>111286</v>
      </c>
      <c r="IM56" s="46">
        <v>111287</v>
      </c>
      <c r="IN56" s="46">
        <v>111288</v>
      </c>
      <c r="IO56" s="230">
        <v>111289</v>
      </c>
      <c r="IP56" s="52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51"/>
      <c r="IR56" s="46"/>
      <c r="IS56" s="46"/>
      <c r="IT56" s="46"/>
      <c r="IU56" s="46"/>
      <c r="IV56" s="46"/>
      <c r="IW56" s="46"/>
      <c r="IX56" s="46"/>
      <c r="IY56" s="46"/>
      <c r="JA56" s="46">
        <v>111180</v>
      </c>
      <c r="JB56" s="46">
        <v>111181</v>
      </c>
      <c r="JC56" s="46">
        <v>111182</v>
      </c>
      <c r="JD56" s="46">
        <v>111183</v>
      </c>
      <c r="JE56" s="46">
        <v>111184</v>
      </c>
      <c r="JF56" s="46">
        <v>111185</v>
      </c>
      <c r="JG56" s="46">
        <v>111186</v>
      </c>
      <c r="JH56" s="46">
        <v>111187</v>
      </c>
      <c r="JI56" s="46">
        <v>111188</v>
      </c>
      <c r="JJ56" s="230">
        <v>111189</v>
      </c>
      <c r="JK56" s="52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51"/>
      <c r="JM56" s="46"/>
      <c r="JN56" s="46"/>
      <c r="JO56" s="46"/>
      <c r="JP56" s="46"/>
      <c r="JQ56" s="46"/>
      <c r="JR56" s="46"/>
      <c r="JS56" s="46"/>
      <c r="JT56" s="46"/>
      <c r="JV56" s="46">
        <v>111180</v>
      </c>
      <c r="JW56" s="46">
        <v>111181</v>
      </c>
      <c r="JX56" s="46">
        <v>111182</v>
      </c>
      <c r="JY56" s="46">
        <v>111183</v>
      </c>
      <c r="JZ56" s="46">
        <v>111184</v>
      </c>
      <c r="KA56" s="46">
        <v>111185</v>
      </c>
      <c r="KB56" s="46">
        <v>111186</v>
      </c>
      <c r="KC56" s="46">
        <v>111187</v>
      </c>
      <c r="KD56" s="46">
        <v>111188</v>
      </c>
      <c r="KE56" s="230">
        <v>111189</v>
      </c>
      <c r="KF56" s="52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51"/>
      <c r="KH56" s="46"/>
      <c r="KI56" s="46"/>
      <c r="KJ56" s="46"/>
      <c r="KK56" s="46"/>
      <c r="KL56" s="46"/>
      <c r="KM56" s="46"/>
      <c r="KN56" s="46"/>
      <c r="KO56" s="46"/>
      <c r="KQ56" s="46">
        <v>111180</v>
      </c>
      <c r="KR56" s="46">
        <v>111181</v>
      </c>
      <c r="KS56" s="46">
        <v>111182</v>
      </c>
      <c r="KT56" s="46">
        <v>111183</v>
      </c>
      <c r="KU56" s="46">
        <v>111184</v>
      </c>
      <c r="KV56" s="46">
        <v>111185</v>
      </c>
      <c r="KW56" s="46">
        <v>111186</v>
      </c>
      <c r="KX56" s="46">
        <v>111187</v>
      </c>
      <c r="KY56" s="46">
        <v>111188</v>
      </c>
      <c r="KZ56" s="230">
        <v>111189</v>
      </c>
      <c r="LA56" s="52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51"/>
      <c r="LC56" s="46"/>
      <c r="LD56" s="46"/>
      <c r="LE56" s="46"/>
      <c r="LF56" s="46"/>
      <c r="LG56" s="46"/>
      <c r="LH56" s="46"/>
      <c r="LI56" s="46"/>
      <c r="LJ56" s="46"/>
      <c r="LL56" s="46">
        <v>111200</v>
      </c>
      <c r="LM56" s="46">
        <v>111201</v>
      </c>
      <c r="LN56" s="46">
        <v>111202</v>
      </c>
      <c r="LO56" s="46">
        <v>111203</v>
      </c>
      <c r="LP56" s="46">
        <v>111204</v>
      </c>
      <c r="LQ56" s="46">
        <v>111205</v>
      </c>
      <c r="LR56" s="46">
        <v>111206</v>
      </c>
      <c r="LS56" s="46">
        <v>111207</v>
      </c>
      <c r="LT56" s="46">
        <v>111208</v>
      </c>
      <c r="LU56" s="230">
        <v>111209</v>
      </c>
      <c r="LV56" s="52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51"/>
      <c r="LX56" s="46"/>
      <c r="LY56" s="46"/>
      <c r="LZ56" s="46"/>
      <c r="MA56" s="46"/>
      <c r="MB56" s="46"/>
      <c r="MC56" s="46"/>
      <c r="MD56" s="46"/>
      <c r="ME56" s="46"/>
      <c r="MG56" s="46">
        <v>111220</v>
      </c>
      <c r="MH56" s="46">
        <v>111221</v>
      </c>
      <c r="MI56" s="46">
        <v>111222</v>
      </c>
      <c r="MJ56" s="46">
        <v>111223</v>
      </c>
      <c r="MK56" s="46">
        <v>111224</v>
      </c>
      <c r="ML56" s="46">
        <v>111225</v>
      </c>
      <c r="MM56" s="46">
        <v>111226</v>
      </c>
      <c r="MN56" s="46">
        <v>111227</v>
      </c>
      <c r="MO56" s="46">
        <v>111228</v>
      </c>
      <c r="MP56" s="230">
        <v>111229</v>
      </c>
      <c r="MQ56" s="52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51"/>
      <c r="MS56" s="46"/>
      <c r="MT56" s="46"/>
      <c r="MU56" s="46"/>
      <c r="MV56" s="46"/>
      <c r="MW56" s="46"/>
      <c r="MX56" s="46"/>
      <c r="MY56" s="46"/>
      <c r="MZ56" s="46"/>
      <c r="NB56" s="46">
        <v>111220</v>
      </c>
      <c r="NC56" s="46">
        <v>111221</v>
      </c>
      <c r="ND56" s="46">
        <v>111222</v>
      </c>
      <c r="NE56" s="46">
        <v>111223</v>
      </c>
      <c r="NF56" s="46">
        <v>111224</v>
      </c>
      <c r="NG56" s="46">
        <v>111225</v>
      </c>
      <c r="NH56" s="46">
        <v>111226</v>
      </c>
      <c r="NI56" s="46">
        <v>111227</v>
      </c>
      <c r="NJ56" s="46">
        <v>111228</v>
      </c>
      <c r="NK56" s="230">
        <v>111229</v>
      </c>
      <c r="NL56" s="52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51"/>
      <c r="NN56" s="46"/>
      <c r="NO56" s="46"/>
      <c r="NP56" s="46"/>
      <c r="NQ56" s="46"/>
      <c r="NR56" s="46"/>
      <c r="NS56" s="46"/>
      <c r="NT56" s="46"/>
      <c r="NU56" s="46"/>
      <c r="NW56" s="46">
        <v>111600</v>
      </c>
      <c r="NX56" s="46">
        <v>111601</v>
      </c>
      <c r="NY56" s="46">
        <v>111602</v>
      </c>
      <c r="NZ56" s="46">
        <v>111603</v>
      </c>
      <c r="OA56" s="46">
        <v>111604</v>
      </c>
      <c r="OB56" s="46">
        <v>111605</v>
      </c>
      <c r="OC56" s="46">
        <v>111606</v>
      </c>
      <c r="OD56" s="46">
        <v>111607</v>
      </c>
      <c r="OE56" s="46">
        <v>111608</v>
      </c>
      <c r="OF56" s="230">
        <v>111609</v>
      </c>
      <c r="OG56" s="52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51"/>
      <c r="OI56" s="46"/>
      <c r="OJ56" s="46"/>
      <c r="OK56" s="46"/>
      <c r="OL56" s="46"/>
      <c r="OM56" s="46"/>
      <c r="ON56" s="46"/>
      <c r="OO56" s="46"/>
      <c r="OP56" s="46"/>
      <c r="OR56" s="46">
        <v>111240</v>
      </c>
      <c r="OS56" s="46">
        <v>111241</v>
      </c>
      <c r="OT56" s="46">
        <v>111242</v>
      </c>
      <c r="OU56" s="46">
        <v>111243</v>
      </c>
      <c r="OV56" s="46">
        <v>111244</v>
      </c>
      <c r="OW56" s="46">
        <v>111245</v>
      </c>
      <c r="OX56" s="46">
        <v>111246</v>
      </c>
      <c r="OY56" s="46">
        <v>111247</v>
      </c>
      <c r="OZ56" s="46">
        <v>111248</v>
      </c>
      <c r="PA56" s="230">
        <v>111249</v>
      </c>
      <c r="PB56" s="52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51"/>
      <c r="PD56" s="46"/>
      <c r="PE56" s="46"/>
      <c r="PF56" s="46"/>
      <c r="PG56" s="46"/>
      <c r="PH56" s="46"/>
      <c r="PI56" s="46"/>
      <c r="PJ56" s="46"/>
      <c r="PK56" s="46"/>
      <c r="PM56" s="46">
        <v>111240</v>
      </c>
      <c r="PN56" s="46">
        <v>111241</v>
      </c>
      <c r="PO56" s="46">
        <v>111242</v>
      </c>
      <c r="PP56" s="46">
        <v>111243</v>
      </c>
      <c r="PQ56" s="46">
        <v>111244</v>
      </c>
      <c r="PR56" s="46">
        <v>111245</v>
      </c>
      <c r="PS56" s="46">
        <v>111246</v>
      </c>
      <c r="PT56" s="46">
        <v>111247</v>
      </c>
      <c r="PU56" s="46">
        <v>111248</v>
      </c>
      <c r="PV56" s="230">
        <v>111249</v>
      </c>
      <c r="PW56" s="52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51"/>
      <c r="PY56" s="46"/>
      <c r="PZ56" s="46"/>
      <c r="QA56" s="46"/>
      <c r="QB56" s="46"/>
      <c r="QC56" s="46"/>
      <c r="QD56" s="46"/>
      <c r="QE56" s="46"/>
      <c r="QF56" s="46"/>
      <c r="QH56" s="46">
        <v>111620</v>
      </c>
      <c r="QI56" s="46">
        <v>111621</v>
      </c>
      <c r="QJ56" s="46">
        <v>111622</v>
      </c>
      <c r="QK56" s="46">
        <v>111623</v>
      </c>
      <c r="QL56" s="46">
        <v>111624</v>
      </c>
      <c r="QM56" s="46">
        <v>111625</v>
      </c>
      <c r="QN56" s="46">
        <v>111626</v>
      </c>
      <c r="QO56" s="46">
        <v>111627</v>
      </c>
      <c r="QP56" s="46">
        <v>111628</v>
      </c>
      <c r="QQ56" s="230">
        <v>111629</v>
      </c>
      <c r="QR56" s="52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250" t="str">
        <f>VLOOKUP("ROTO Einfassung",Sprachindex!A:Z,Info!$O$6,FALSE)</f>
        <v>ROTO Einfassung</v>
      </c>
      <c r="F57" s="251"/>
      <c r="G57" s="251"/>
      <c r="H57" s="251"/>
      <c r="I57" s="101" t="str">
        <f>VLOOKUP("Maße:",Sprachindex!A:Z,Info!$O$6,FALSE)</f>
        <v>Maße:</v>
      </c>
      <c r="J57" s="252"/>
      <c r="K57" s="253"/>
      <c r="L57" s="96" t="str">
        <f>IF($A57=0,"",IF($J57=Formeln!$A$49," ",IF($N$11=1,P57,Q57)))</f>
        <v/>
      </c>
      <c r="M57" s="97"/>
      <c r="O57" s="171"/>
      <c r="P57" s="191" t="str">
        <f>ROUNDUP($A57,0) &amp;" " &amp; Formeln!$A$111</f>
        <v>0 STK</v>
      </c>
      <c r="Q57" s="191" t="str">
        <f>ROUNDUP($A57,0) &amp;" " &amp; Formeln!$A$111</f>
        <v>0 STK</v>
      </c>
      <c r="R57" s="187"/>
      <c r="T57" s="46"/>
      <c r="U57" s="46"/>
      <c r="V57" s="46"/>
      <c r="W57" s="46"/>
      <c r="X57" s="46"/>
      <c r="Y57" s="46"/>
      <c r="Z57" s="46"/>
      <c r="AA57" s="46"/>
      <c r="AB57" s="46"/>
      <c r="AD57" s="46">
        <v>111300</v>
      </c>
      <c r="AE57" s="46">
        <v>111301</v>
      </c>
      <c r="AF57" s="46">
        <v>111302</v>
      </c>
      <c r="AG57" s="46">
        <v>111303</v>
      </c>
      <c r="AH57" s="46">
        <v>111304</v>
      </c>
      <c r="AI57" s="46">
        <v>111305</v>
      </c>
      <c r="AJ57" s="46">
        <v>111306</v>
      </c>
      <c r="AK57" s="46">
        <v>111307</v>
      </c>
      <c r="AL57" s="46">
        <v>111308</v>
      </c>
      <c r="AM57" s="229">
        <v>111309</v>
      </c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46">
        <v>111320</v>
      </c>
      <c r="AZ57" s="46">
        <v>111321</v>
      </c>
      <c r="BA57" s="46">
        <v>111322</v>
      </c>
      <c r="BB57" s="46">
        <v>111323</v>
      </c>
      <c r="BC57" s="46">
        <v>111324</v>
      </c>
      <c r="BD57" s="46">
        <v>111325</v>
      </c>
      <c r="BE57" s="46">
        <v>111326</v>
      </c>
      <c r="BF57" s="46">
        <v>111327</v>
      </c>
      <c r="BG57" s="46">
        <v>111328</v>
      </c>
      <c r="BH57" s="229">
        <v>111329</v>
      </c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46">
        <v>111340</v>
      </c>
      <c r="BU57" s="46">
        <v>111341</v>
      </c>
      <c r="BV57" s="46">
        <v>111342</v>
      </c>
      <c r="BW57" s="46">
        <v>111343</v>
      </c>
      <c r="BX57" s="46">
        <v>111344</v>
      </c>
      <c r="BY57" s="46">
        <v>111345</v>
      </c>
      <c r="BZ57" s="46">
        <v>111346</v>
      </c>
      <c r="CA57" s="46">
        <v>111347</v>
      </c>
      <c r="CB57" s="46">
        <v>111348</v>
      </c>
      <c r="CC57" s="229">
        <v>111349</v>
      </c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46">
        <v>111360</v>
      </c>
      <c r="CP57" s="46">
        <v>111361</v>
      </c>
      <c r="CQ57" s="46">
        <v>111362</v>
      </c>
      <c r="CR57" s="46">
        <v>111363</v>
      </c>
      <c r="CS57" s="46">
        <v>111364</v>
      </c>
      <c r="CT57" s="46">
        <v>111365</v>
      </c>
      <c r="CU57" s="46">
        <v>111366</v>
      </c>
      <c r="CV57" s="46">
        <v>111367</v>
      </c>
      <c r="CW57" s="46">
        <v>111368</v>
      </c>
      <c r="CX57" s="229">
        <v>111369</v>
      </c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46">
        <v>111380</v>
      </c>
      <c r="DK57" s="46">
        <v>111381</v>
      </c>
      <c r="DL57" s="46">
        <v>111382</v>
      </c>
      <c r="DM57" s="46">
        <v>111383</v>
      </c>
      <c r="DN57" s="46">
        <v>111384</v>
      </c>
      <c r="DO57" s="46">
        <v>111385</v>
      </c>
      <c r="DP57" s="46">
        <v>111386</v>
      </c>
      <c r="DQ57" s="46">
        <v>111387</v>
      </c>
      <c r="DR57" s="46">
        <v>111388</v>
      </c>
      <c r="DS57" s="229">
        <v>111389</v>
      </c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46">
        <v>111400</v>
      </c>
      <c r="EF57" s="46">
        <v>111401</v>
      </c>
      <c r="EG57" s="46">
        <v>111402</v>
      </c>
      <c r="EH57" s="46">
        <v>111403</v>
      </c>
      <c r="EI57" s="46">
        <v>111404</v>
      </c>
      <c r="EJ57" s="46">
        <v>111405</v>
      </c>
      <c r="EK57" s="46">
        <v>111406</v>
      </c>
      <c r="EL57" s="46">
        <v>111407</v>
      </c>
      <c r="EM57" s="46">
        <v>111408</v>
      </c>
      <c r="EN57" s="229">
        <v>111409</v>
      </c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46"/>
      <c r="EQ57" s="46"/>
      <c r="ER57" s="46"/>
      <c r="ES57" s="46"/>
      <c r="ET57" s="46"/>
      <c r="EU57" s="46"/>
      <c r="EV57" s="46"/>
      <c r="EW57" s="46"/>
      <c r="EX57" s="46"/>
      <c r="EZ57" s="46">
        <v>111420</v>
      </c>
      <c r="FA57" s="46">
        <v>111421</v>
      </c>
      <c r="FB57" s="46">
        <v>111422</v>
      </c>
      <c r="FC57" s="46">
        <v>111423</v>
      </c>
      <c r="FD57" s="46">
        <v>111424</v>
      </c>
      <c r="FE57" s="46">
        <v>111425</v>
      </c>
      <c r="FF57" s="46">
        <v>111426</v>
      </c>
      <c r="FG57" s="46">
        <v>111427</v>
      </c>
      <c r="FH57" s="46">
        <v>111428</v>
      </c>
      <c r="FI57" s="229">
        <v>111429</v>
      </c>
      <c r="FJ57" s="52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46"/>
      <c r="FL57" s="46"/>
      <c r="FM57" s="46"/>
      <c r="FN57" s="46"/>
      <c r="FO57" s="46"/>
      <c r="FP57" s="46"/>
      <c r="FQ57" s="46"/>
      <c r="FR57" s="46"/>
      <c r="FS57" s="46"/>
      <c r="FU57" s="46">
        <v>111440</v>
      </c>
      <c r="FV57" s="46">
        <v>111441</v>
      </c>
      <c r="FW57" s="46">
        <v>111442</v>
      </c>
      <c r="FX57" s="46">
        <v>111443</v>
      </c>
      <c r="FY57" s="46">
        <v>111444</v>
      </c>
      <c r="FZ57" s="46">
        <v>111445</v>
      </c>
      <c r="GA57" s="46">
        <v>111446</v>
      </c>
      <c r="GB57" s="46">
        <v>111447</v>
      </c>
      <c r="GC57" s="46">
        <v>111448</v>
      </c>
      <c r="GD57" s="229">
        <v>111449</v>
      </c>
      <c r="GE57" s="52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52"/>
      <c r="HU57" s="52"/>
      <c r="IP57" s="52"/>
      <c r="JK57" s="52"/>
      <c r="KF57" s="52"/>
      <c r="LA57" s="52"/>
      <c r="LV57" s="52"/>
      <c r="MQ57" s="52"/>
      <c r="NL57" s="52"/>
      <c r="OG57" s="52"/>
      <c r="PB57" s="52"/>
      <c r="PW57" s="52"/>
      <c r="QR57" s="52"/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v>111700</v>
      </c>
      <c r="E58" s="250" t="str">
        <f>VLOOKUP("ROTO Einfassung-Q-Serie",Sprachindex!A:Z,Info!$O$6,FALSE)</f>
        <v>ROTO Einfassung-Q-Serie</v>
      </c>
      <c r="F58" s="251"/>
      <c r="G58" s="251"/>
      <c r="H58" s="251"/>
      <c r="I58" s="101" t="str">
        <f>VLOOKUP("Maße:",Sprachindex!A:Z,Info!$O$6,FALSE)</f>
        <v>Maße:</v>
      </c>
      <c r="J58" s="252"/>
      <c r="K58" s="253"/>
      <c r="L58" s="96" t="str">
        <f>IF($A58=0,"",IF($J58=Formeln!$A$49," ",IF($N$11=1,P58,Q58)))</f>
        <v/>
      </c>
      <c r="M58" s="97"/>
      <c r="O58" s="171"/>
      <c r="P58" s="191" t="str">
        <f>ROUNDUP($A58,0) &amp;" " &amp; Formeln!$A$111</f>
        <v>0 STK</v>
      </c>
      <c r="Q58" s="191" t="str">
        <f>ROUNDUP($A58,0) &amp;" " &amp; Formeln!$A$111</f>
        <v>0 STK</v>
      </c>
      <c r="R58" s="187"/>
      <c r="T58" s="46"/>
      <c r="U58" s="46"/>
      <c r="V58" s="46"/>
      <c r="W58" s="46"/>
      <c r="X58" s="46"/>
      <c r="Y58" s="46"/>
      <c r="Z58" s="46"/>
      <c r="AA58" s="46"/>
      <c r="AB58" s="46"/>
      <c r="AD58" s="161"/>
      <c r="AE58" s="161"/>
      <c r="AF58" s="161"/>
      <c r="AG58" s="161"/>
      <c r="AH58" s="161"/>
      <c r="AI58" s="161"/>
      <c r="AJ58" s="161"/>
      <c r="AK58" s="161"/>
      <c r="AL58" s="161"/>
      <c r="AM58" s="231"/>
      <c r="AN58" s="52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46"/>
      <c r="AP58" s="46"/>
      <c r="AQ58" s="46"/>
      <c r="AR58" s="46"/>
      <c r="AS58" s="46"/>
      <c r="AT58" s="46"/>
      <c r="AU58" s="46"/>
      <c r="AV58" s="46"/>
      <c r="AW58" s="46"/>
      <c r="AY58" s="161"/>
      <c r="AZ58" s="161"/>
      <c r="BA58" s="161"/>
      <c r="BB58" s="161"/>
      <c r="BC58" s="161"/>
      <c r="BD58" s="161"/>
      <c r="BE58" s="161"/>
      <c r="BF58" s="161"/>
      <c r="BG58" s="161"/>
      <c r="BH58" s="231"/>
      <c r="BI58" s="52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46"/>
      <c r="BK58" s="46"/>
      <c r="BL58" s="46"/>
      <c r="BM58" s="46"/>
      <c r="BN58" s="46"/>
      <c r="BO58" s="46"/>
      <c r="BP58" s="46"/>
      <c r="BQ58" s="46"/>
      <c r="BR58" s="46"/>
      <c r="BT58" s="161"/>
      <c r="BU58" s="161"/>
      <c r="BV58" s="161"/>
      <c r="BW58" s="161"/>
      <c r="BX58" s="161"/>
      <c r="BY58" s="161"/>
      <c r="BZ58" s="161"/>
      <c r="CA58" s="161"/>
      <c r="CB58" s="161"/>
      <c r="CC58" s="231"/>
      <c r="CD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46"/>
      <c r="CF58" s="46"/>
      <c r="CG58" s="46"/>
      <c r="CH58" s="46"/>
      <c r="CI58" s="46"/>
      <c r="CJ58" s="46"/>
      <c r="CK58" s="46"/>
      <c r="CL58" s="46"/>
      <c r="CM58" s="46"/>
      <c r="CO58" s="161"/>
      <c r="CP58" s="161"/>
      <c r="CQ58" s="161"/>
      <c r="CR58" s="161"/>
      <c r="CS58" s="161"/>
      <c r="CT58" s="161"/>
      <c r="CU58" s="161"/>
      <c r="CV58" s="161"/>
      <c r="CW58" s="161"/>
      <c r="CX58" s="231"/>
      <c r="CY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161"/>
      <c r="DK58" s="161"/>
      <c r="DL58" s="161"/>
      <c r="DM58" s="161"/>
      <c r="DN58" s="161"/>
      <c r="DO58" s="161"/>
      <c r="DP58" s="161"/>
      <c r="DQ58" s="161"/>
      <c r="DR58" s="161"/>
      <c r="DS58" s="231"/>
      <c r="DT58" s="52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46"/>
      <c r="DV58" s="46"/>
      <c r="DW58" s="46"/>
      <c r="DX58" s="46"/>
      <c r="DY58" s="46"/>
      <c r="DZ58" s="46"/>
      <c r="EA58" s="46"/>
      <c r="EB58" s="46"/>
      <c r="EC58" s="46"/>
      <c r="EE58" s="161"/>
      <c r="EF58" s="161"/>
      <c r="EG58" s="161"/>
      <c r="EH58" s="161"/>
      <c r="EI58" s="161"/>
      <c r="EJ58" s="161"/>
      <c r="EK58" s="161"/>
      <c r="EL58" s="161"/>
      <c r="EM58" s="161"/>
      <c r="EN58" s="231"/>
      <c r="EO58" s="52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60"/>
      <c r="HR58" s="160"/>
      <c r="IM58" s="160"/>
      <c r="JH58" s="160"/>
      <c r="KC58" s="160"/>
      <c r="KX58" s="160"/>
      <c r="LS58" s="160"/>
      <c r="MN58" s="160"/>
      <c r="NI58" s="160"/>
      <c r="OD58" s="160"/>
      <c r="OY58" s="160"/>
      <c r="PT58" s="160"/>
      <c r="QO58" s="160"/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f>IF($N$21=1,T59,IF($N$21=4,U59,IF($N$21=5,V59,IF($N$21=11,W59,IF($N$21=7,X59,IF($N$21=3,Y59,IF($N$21=6,Z59,IF($N$21=9,AA59,IF($N$21=2,AB59,IF($N$21=8,AC59,0))))))))))</f>
        <v>0</v>
      </c>
      <c r="E59" s="250" t="str">
        <f>VLOOKUP("Einzeltritt",Sprachindex!A:Z,Info!$O$6,FALSE)</f>
        <v>Einzeltritt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97"/>
      <c r="O59" s="171"/>
      <c r="P59" s="191" t="str">
        <f>ROUNDUP($A59,0) &amp;" " &amp; Formeln!$A$111</f>
        <v>0 STK</v>
      </c>
      <c r="Q59" s="191" t="str">
        <f>ROUNDUP($A59,0) &amp;" " &amp; Formeln!$A$111</f>
        <v>0 STK</v>
      </c>
      <c r="R59" s="187"/>
      <c r="T59" s="46">
        <v>120070</v>
      </c>
      <c r="U59" s="46">
        <v>120071</v>
      </c>
      <c r="V59" s="46">
        <v>120072</v>
      </c>
      <c r="W59" s="46">
        <v>120073</v>
      </c>
      <c r="X59" s="46">
        <v>120074</v>
      </c>
      <c r="Y59" s="46">
        <v>120075</v>
      </c>
      <c r="Z59" s="46">
        <v>120076</v>
      </c>
      <c r="AA59" s="46">
        <v>120077</v>
      </c>
      <c r="AB59" s="46">
        <v>120078</v>
      </c>
      <c r="AC59" s="46">
        <v>120079</v>
      </c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>IF($N$21=1,T60,IF($N$21=4,U60,IF($N$21=5,V60,IF($N$21=11,W60,IF($N$21=7,X60,IF($N$21=3,Y60,IF($N$21=6,Z60,IF($N$21=9,AA60,IF($N$21=2,AB60,IF($N$21=8,AC60,0))))))))))</f>
        <v>0</v>
      </c>
      <c r="E60" s="250" t="str">
        <f>VLOOKUP("Laufstegstütze FT250, inkl. Zubehör",Sprachindex!A:Z,Info!$O$6,FALSE)</f>
        <v>Laufstegstütze FT250, inkl. Zubehör</v>
      </c>
      <c r="F60" s="251"/>
      <c r="G60" s="251"/>
      <c r="H60" s="251"/>
      <c r="I60" s="251"/>
      <c r="J60" s="251"/>
      <c r="K60" s="257"/>
      <c r="L60" s="96" t="str">
        <f>IF(A60=0,"",IF($N$11=1,P60,Q60))</f>
        <v/>
      </c>
      <c r="M60" s="97"/>
      <c r="O60" s="171"/>
      <c r="P60" s="191" t="str">
        <f>ROUNDUP($A60,0) &amp;" " &amp; Formeln!$A$111</f>
        <v>0 STK</v>
      </c>
      <c r="Q60" s="191" t="str">
        <f>ROUNDUP($A60,0) &amp;" " &amp; Formeln!$A$111</f>
        <v>0 STK</v>
      </c>
      <c r="R60" s="187"/>
      <c r="T60" s="46">
        <v>120080</v>
      </c>
      <c r="U60" s="46">
        <v>120081</v>
      </c>
      <c r="V60" s="46">
        <v>120082</v>
      </c>
      <c r="W60" s="46">
        <v>120083</v>
      </c>
      <c r="X60" s="46">
        <v>120084</v>
      </c>
      <c r="Y60" s="46">
        <v>120085</v>
      </c>
      <c r="Z60" s="46">
        <v>120086</v>
      </c>
      <c r="AA60" s="46">
        <v>120087</v>
      </c>
      <c r="AB60" s="46">
        <v>120088</v>
      </c>
      <c r="AC60" s="46">
        <v>120089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v>649304</v>
      </c>
      <c r="E61" s="250" t="str">
        <f>VLOOKUP("Laufstegstütze auf zwei Fussteilen, geprüft nach EN 516-1-B (360 mm)",Sprachindex!A:Z,Info!$O$6,FALSE)</f>
        <v>Laufstegstütze auf zwei Fussteilen, geprüft nach EN 516-1-B (360 mm)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97"/>
      <c r="O61" s="171"/>
      <c r="P61" s="191" t="str">
        <f>ROUNDUP($A61,0) &amp;" " &amp; Formeln!$A$111</f>
        <v>0 STK</v>
      </c>
      <c r="Q61" s="191" t="str">
        <f>ROUNDUP($A61,0) &amp;" " &amp; Formeln!$A$111</f>
        <v>0 STK</v>
      </c>
      <c r="R61" s="187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>IF($N$21=1,T62,IF($N$21=4,U62,IF($N$21=5,V62,IF($N$21=11,W62,IF($N$21=7,X62,IF($N$21=3,Y62,IF($N$21=6,Z62,IF($N$21=9,AA62,IF($N$21=2,AB62,IF($N$21=8,AC62,0))))))))))</f>
        <v>0</v>
      </c>
      <c r="E62" s="250" t="str">
        <f>VLOOKUP("Laufsteg 250x1200mm, inkl. Befestigung ",Sprachindex!A:Z,Info!$O$6,FALSE)</f>
        <v xml:space="preserve">Laufsteg 250x1200mm, inkl. Befestigung 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97"/>
      <c r="O62" s="171"/>
      <c r="P62" s="191" t="str">
        <f>ROUNDUP($A62,0) &amp;" " &amp; Formeln!$A$111</f>
        <v>0 STK</v>
      </c>
      <c r="Q62" s="191" t="str">
        <f>ROUNDUP($A62,0) &amp;" " &amp; Formeln!$A$111</f>
        <v>0 STK</v>
      </c>
      <c r="R62" s="187"/>
      <c r="T62" s="46">
        <v>120030</v>
      </c>
      <c r="U62" s="46">
        <v>120031</v>
      </c>
      <c r="V62" s="46">
        <v>120032</v>
      </c>
      <c r="W62" s="46">
        <v>120033</v>
      </c>
      <c r="X62" s="46">
        <v>120034</v>
      </c>
      <c r="Y62" s="46">
        <v>120035</v>
      </c>
      <c r="Z62" s="46">
        <v>120036</v>
      </c>
      <c r="AA62" s="46">
        <v>120037</v>
      </c>
      <c r="AB62" s="46">
        <v>120038</v>
      </c>
      <c r="AC62" s="46">
        <v>120039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f>IF($N$21=1,T63,IF($N$21=4,U63,IF($N$21=5,V63,IF($N$21=11,W63,IF($N$21=7,X63,IF($N$21=3,Y63,IF($N$21=6,Z63,IF($N$21=9,AA63,IF($N$21=2,AB63,IF($N$21=8,AC63,0))))))))))</f>
        <v>0</v>
      </c>
      <c r="E63" s="250" t="str">
        <f>VLOOKUP("Laufsteg 250x800mm, inkl. Befestigung ",Sprachindex!A:Z,Info!$O$6,FALSE)</f>
        <v xml:space="preserve">Laufsteg 250x800mm, inkl. Befestigung 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97"/>
      <c r="O63" s="171"/>
      <c r="P63" s="191" t="str">
        <f>ROUNDUP($A63,0) &amp;" " &amp; Formeln!$A$111</f>
        <v>0 STK</v>
      </c>
      <c r="Q63" s="191" t="str">
        <f>ROUNDUP($A63,0) &amp;" " &amp; Formeln!$A$111</f>
        <v>0 STK</v>
      </c>
      <c r="R63" s="187"/>
      <c r="T63" s="46">
        <v>120020</v>
      </c>
      <c r="U63" s="46">
        <v>120021</v>
      </c>
      <c r="V63" s="46">
        <v>120022</v>
      </c>
      <c r="W63" s="46">
        <v>120023</v>
      </c>
      <c r="X63" s="46">
        <v>120024</v>
      </c>
      <c r="Y63" s="46">
        <v>120025</v>
      </c>
      <c r="Z63" s="46">
        <v>120026</v>
      </c>
      <c r="AA63" s="46">
        <v>120027</v>
      </c>
      <c r="AB63" s="46">
        <v>120028</v>
      </c>
      <c r="AC63" s="46">
        <v>121075</v>
      </c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f>IF($N$21=1,T64,IF($N$21=4,U64,IF($N$21=5,V64,IF($N$21=11,W64,IF($N$21=7,X64,IF($N$21=3,Y64,IF($N$21=6,Z64,IF($N$21=9,AA64,IF($N$21=2,AB64,IF($N$21=8,AC64,0))))))))))</f>
        <v>0</v>
      </c>
      <c r="E64" s="250" t="str">
        <f>VLOOKUP("Laufsteg 250x600mm, inkl. Befestigung ",Sprachindex!A:Z,Info!$O$6,FALSE)</f>
        <v xml:space="preserve">Laufsteg 250x600mm, inkl. Befestigung 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97"/>
      <c r="O64" s="171"/>
      <c r="P64" s="191" t="str">
        <f>ROUNDUP($A64,0) &amp;" " &amp; Formeln!$A$111</f>
        <v>0 STK</v>
      </c>
      <c r="Q64" s="191" t="str">
        <f>ROUNDUP($A64,0) &amp;" " &amp; Formeln!$A$111</f>
        <v>0 STK</v>
      </c>
      <c r="R64" s="187"/>
      <c r="T64" s="46">
        <v>120060</v>
      </c>
      <c r="U64" s="46">
        <v>120061</v>
      </c>
      <c r="V64" s="46">
        <v>120062</v>
      </c>
      <c r="W64" s="46">
        <v>120063</v>
      </c>
      <c r="X64" s="46">
        <v>120064</v>
      </c>
      <c r="Y64" s="46">
        <v>120065</v>
      </c>
      <c r="Z64" s="46">
        <v>120066</v>
      </c>
      <c r="AA64" s="46">
        <v>120067</v>
      </c>
      <c r="AB64" s="46">
        <v>120068</v>
      </c>
      <c r="AC64" s="46">
        <v>120069</v>
      </c>
    </row>
    <row r="65" spans="1:39" ht="32.1" customHeight="1">
      <c r="A65" s="118"/>
      <c r="B65" s="96" t="str">
        <f>VLOOKUP("Stk",Sprachindex!A:Z,Info!$O$6,FALSE)</f>
        <v>STK</v>
      </c>
      <c r="C65" s="95"/>
      <c r="D65" s="95">
        <f>IF($N$21=1,T65,IF($N$21=4,U65,IF($N$21=5,V65,IF($N$21=11,W65,IF($N$21=7,X65,IF($N$21=3,Y65,IF($N$21=6,Z65,IF($N$21=9,AA65,IF($N$21=2,AB65,IF($N$21=8,AC65,0))))))))))</f>
        <v>0</v>
      </c>
      <c r="E65" s="250" t="str">
        <f>VLOOKUP("Laufsteg 250x420mm, inkl. Befestigung ",Sprachindex!A:Z,Info!$O$6,FALSE)</f>
        <v xml:space="preserve">Laufsteg 250x420mm, inkl. Befestigung </v>
      </c>
      <c r="F65" s="251"/>
      <c r="G65" s="251"/>
      <c r="H65" s="251"/>
      <c r="I65" s="251"/>
      <c r="J65" s="251"/>
      <c r="K65" s="257"/>
      <c r="L65" s="96" t="str">
        <f>IF(A65=0,"",IF($N$11=1,P65,Q65))</f>
        <v/>
      </c>
      <c r="M65" s="97"/>
      <c r="O65" s="171"/>
      <c r="P65" s="191" t="str">
        <f>ROUNDUP($A65/4,0)*4 &amp;" " &amp; Formeln!$A$111</f>
        <v>0 STK</v>
      </c>
      <c r="Q65" s="191" t="str">
        <f>ROUNDUP($A65,0) &amp;" " &amp; Formeln!$A$111</f>
        <v>0 STK</v>
      </c>
      <c r="R65" s="187"/>
      <c r="T65" s="46">
        <v>120010</v>
      </c>
      <c r="U65" s="46">
        <v>120011</v>
      </c>
      <c r="V65" s="46">
        <v>120012</v>
      </c>
      <c r="W65" s="46">
        <v>120013</v>
      </c>
      <c r="X65" s="46">
        <v>120014</v>
      </c>
      <c r="Y65" s="46">
        <v>120015</v>
      </c>
      <c r="Z65" s="46">
        <v>120016</v>
      </c>
      <c r="AA65" s="46">
        <v>120017</v>
      </c>
      <c r="AB65" s="46">
        <v>120018</v>
      </c>
      <c r="AC65" s="46">
        <v>120019</v>
      </c>
    </row>
    <row r="66" spans="1:39" ht="32.1" customHeight="1">
      <c r="A66" s="118"/>
      <c r="B66" s="96" t="str">
        <f>VLOOKUP("Stk",Sprachindex!A:Z,Info!$O$6,FALSE)</f>
        <v>STK</v>
      </c>
      <c r="C66" s="95"/>
      <c r="D66" s="95">
        <v>649305</v>
      </c>
      <c r="E66" s="250" t="str">
        <f>VLOOKUP("Laufsteg 360x800mm, inkl. Befestigung ",Sprachindex!A:Z,Info!$O$6,FALSE)</f>
        <v xml:space="preserve">Laufsteg 360x800mm, inkl. Befestigung </v>
      </c>
      <c r="F66" s="251"/>
      <c r="G66" s="251"/>
      <c r="H66" s="251"/>
      <c r="I66" s="251"/>
      <c r="J66" s="251"/>
      <c r="K66" s="257"/>
      <c r="L66" s="96" t="str">
        <f>IF(A66=0,"",IF($N$11=1,P66,Q66))</f>
        <v/>
      </c>
      <c r="M66" s="97"/>
      <c r="O66" s="171"/>
      <c r="P66" s="191" t="str">
        <f>ROUNDUP($A66,0) &amp;" " &amp; Formeln!$A$111</f>
        <v>0 STK</v>
      </c>
      <c r="Q66" s="191" t="str">
        <f>ROUNDUP($A66,0) &amp;" " &amp; Formeln!$A$111</f>
        <v>0 STK</v>
      </c>
      <c r="R66" s="187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STK</v>
      </c>
      <c r="C67" s="95"/>
      <c r="D67" s="95">
        <v>649306</v>
      </c>
      <c r="E67" s="250" t="str">
        <f>VLOOKUP("Laufsteg 360x1200mm, inkl. Befestigung ",Sprachindex!A:Z,Info!$O$6,FALSE)</f>
        <v xml:space="preserve">Laufsteg 360x1200mm, inkl. Befestigung 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97"/>
      <c r="O67" s="171"/>
      <c r="P67" s="191" t="str">
        <f>ROUNDUP($A67,0) &amp;" " &amp; Formeln!$A$111</f>
        <v>0 STK</v>
      </c>
      <c r="Q67" s="191" t="str">
        <f>ROUNDUP($A67,0) &amp;" " &amp; Formeln!$A$111</f>
        <v>0 STK</v>
      </c>
      <c r="R67" s="187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39" ht="32.1" customHeight="1">
      <c r="A68" s="118"/>
      <c r="B68" s="96" t="str">
        <f>VLOOKUP("Stk",Sprachindex!A:Z,Info!$O$6,FALSE)</f>
        <v>STK</v>
      </c>
      <c r="C68" s="95"/>
      <c r="D68" s="100">
        <v>649001</v>
      </c>
      <c r="E68" s="250" t="str">
        <f>VLOOKUP("Laufstegverbinder 250mm breit",Sprachindex!A:Z,Info!$O$6,FALSE)</f>
        <v>Laufstegverbinder 250mm breit</v>
      </c>
      <c r="F68" s="251"/>
      <c r="G68" s="251"/>
      <c r="H68" s="251"/>
      <c r="I68" s="251"/>
      <c r="J68" s="251"/>
      <c r="K68" s="257"/>
      <c r="L68" s="96" t="str">
        <f>IF(A68=0,"",IF($N$11=1,P68,Q68))</f>
        <v/>
      </c>
      <c r="M68" s="97"/>
      <c r="O68" s="171"/>
      <c r="P68" s="191" t="str">
        <f>ROUNDUP($A68,0) &amp;" " &amp; Formeln!$A$111</f>
        <v>0 STK</v>
      </c>
      <c r="Q68" s="191" t="str">
        <f>ROUNDUP($A68,0) &amp;" " &amp; Formeln!$A$111</f>
        <v>0 STK</v>
      </c>
      <c r="R68" s="187"/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STK</v>
      </c>
      <c r="C69" s="95"/>
      <c r="D69" s="100">
        <v>649008</v>
      </c>
      <c r="E69" s="250" t="str">
        <f>VLOOKUP("Laufstegverbinder 360mm breit",Sprachindex!A:Z,Info!$O$6,FALSE)</f>
        <v>Laufstegverbinder 360mm breit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97"/>
      <c r="O69" s="171"/>
      <c r="P69" s="191" t="str">
        <f>ROUNDUP($A69,0) &amp;" " &amp; Formeln!$A$111</f>
        <v>0 STK</v>
      </c>
      <c r="Q69" s="191" t="str">
        <f>ROUNDUP($A69,0) &amp;" " &amp; Formeln!$A$111</f>
        <v>0 STK</v>
      </c>
      <c r="R69" s="187"/>
      <c r="T69" s="49" t="s">
        <v>29</v>
      </c>
      <c r="U69" s="49" t="s">
        <v>30</v>
      </c>
      <c r="V69" s="49" t="s">
        <v>31</v>
      </c>
      <c r="W69" s="49" t="s">
        <v>32</v>
      </c>
      <c r="X69" s="49" t="s">
        <v>33</v>
      </c>
      <c r="Y69" s="49" t="s">
        <v>34</v>
      </c>
      <c r="Z69" s="49" t="s">
        <v>35</v>
      </c>
      <c r="AA69" s="49" t="s">
        <v>36</v>
      </c>
      <c r="AB69" s="49" t="s">
        <v>37</v>
      </c>
      <c r="AC69" s="49" t="s">
        <v>38</v>
      </c>
      <c r="AD69" s="49" t="s">
        <v>29</v>
      </c>
      <c r="AE69" s="49" t="s">
        <v>30</v>
      </c>
      <c r="AF69" s="49" t="s">
        <v>31</v>
      </c>
      <c r="AG69" s="49" t="s">
        <v>32</v>
      </c>
      <c r="AH69" s="49" t="s">
        <v>33</v>
      </c>
      <c r="AI69" s="49" t="s">
        <v>34</v>
      </c>
      <c r="AJ69" s="49" t="s">
        <v>35</v>
      </c>
      <c r="AK69" s="49" t="s">
        <v>36</v>
      </c>
      <c r="AL69" s="49" t="s">
        <v>37</v>
      </c>
      <c r="AM69" s="49" t="s">
        <v>38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100">
        <v>635661</v>
      </c>
      <c r="E70" s="250" t="str">
        <f>VLOOKUP("Sicherheitsdachhaken nach EN 517 B, mit Tellerfüßen",Sprachindex!A:Z,Info!$O$6,FALSE)</f>
        <v>Sicherheitsdachhaken nach EN 517 B, mit Tellerfüßen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02"/>
      <c r="O70" s="171"/>
      <c r="P70" s="191" t="str">
        <f>ROUNDUP($A70,0) &amp;" " &amp; Formeln!$A$111</f>
        <v>0 STK</v>
      </c>
      <c r="Q70" s="191" t="str">
        <f>ROUNDUP($A70,0) &amp;" " &amp; Formeln!$A$111</f>
        <v>0 STK</v>
      </c>
      <c r="R70" s="187"/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ref="D71:D77" si="4">IF($N$21=1,T71,IF($N$21=4,U71,IF($N$21=5,V71,IF($N$21=11,W71,IF($N$21=7,X71,IF($N$21=3,Y71,IF($N$21=6,Z71,IF($N$21=9,AA71,IF($N$21=2,AB71,IF($N$21=8,AC71,0))))))))))</f>
        <v>0</v>
      </c>
      <c r="E71" s="250" t="str">
        <f>VLOOKUP("Dachsicherheitshaken, nach DIN EN 517 B",Sprachindex!A:Z,Info!$O$6,FALSE)</f>
        <v>Dachsicherheitshaken, nach DIN EN 517 B</v>
      </c>
      <c r="F71" s="251"/>
      <c r="G71" s="251"/>
      <c r="H71" s="251"/>
      <c r="I71" s="251"/>
      <c r="J71" s="251"/>
      <c r="K71" s="257"/>
      <c r="L71" s="96" t="str">
        <f t="shared" si="0"/>
        <v/>
      </c>
      <c r="M71" s="102"/>
      <c r="O71" s="171"/>
      <c r="P71" s="191" t="str">
        <f>ROUNDUP($A71/12,0)*12 &amp;" " &amp; Formeln!$A$111</f>
        <v>0 STK</v>
      </c>
      <c r="Q71" s="191" t="str">
        <f>ROUNDUP($A71,0) &amp;" " &amp; Formeln!$A$111</f>
        <v>0 STK</v>
      </c>
      <c r="R71" s="187"/>
      <c r="T71" s="46">
        <v>120000</v>
      </c>
      <c r="U71" s="46">
        <v>120001</v>
      </c>
      <c r="V71" s="46">
        <v>120002</v>
      </c>
      <c r="W71" s="46">
        <v>120003</v>
      </c>
      <c r="X71" s="46">
        <v>120004</v>
      </c>
      <c r="Y71" s="46">
        <v>120005</v>
      </c>
      <c r="Z71" s="46">
        <v>120006</v>
      </c>
      <c r="AA71" s="46">
        <v>120007</v>
      </c>
      <c r="AB71" s="46">
        <v>120008</v>
      </c>
      <c r="AC71" s="46">
        <v>120009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4"/>
        <v>0</v>
      </c>
      <c r="E72" s="250" t="str">
        <f>VLOOKUP("Einfassungsplatte, für Dachplatte ",Sprachindex!A:Z,Info!$O$6,FALSE)</f>
        <v xml:space="preserve">Einfassungsplatte, für Dachplatte </v>
      </c>
      <c r="F72" s="251"/>
      <c r="G72" s="251"/>
      <c r="H72" s="251"/>
      <c r="I72" s="251"/>
      <c r="J72" s="251"/>
      <c r="K72" s="257"/>
      <c r="L72" s="96" t="str">
        <f t="shared" ref="L72:L98" si="5">IF(A72=0,"",IF($N$11=1,P72,Q72))</f>
        <v/>
      </c>
      <c r="M72" s="102"/>
      <c r="O72" s="171"/>
      <c r="P72" s="191" t="str">
        <f>ROUNDUP($A72/20,0)*20 &amp;" " &amp; Formeln!$A$111</f>
        <v>0 STK</v>
      </c>
      <c r="Q72" s="191" t="str">
        <f>ROUNDUP($A72,0) &amp;" " &amp; Formeln!$A$111</f>
        <v>0 STK</v>
      </c>
      <c r="R72" s="187"/>
      <c r="T72" s="46">
        <v>110220</v>
      </c>
      <c r="U72" s="46">
        <v>110221</v>
      </c>
      <c r="V72" s="46">
        <v>110222</v>
      </c>
      <c r="W72" s="46">
        <v>110223</v>
      </c>
      <c r="X72" s="46">
        <v>110224</v>
      </c>
      <c r="Y72" s="46">
        <v>110225</v>
      </c>
      <c r="Z72" s="46">
        <v>110226</v>
      </c>
      <c r="AA72" s="46">
        <v>110227</v>
      </c>
      <c r="AB72" s="46">
        <v>110228</v>
      </c>
      <c r="AC72" s="46">
        <v>110229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>IF($N$21=1,T73,IF($N$21=4,U73,IF($N$21=5,V73,IF($N$21=11,W73,IF($N$21=7,X73,IF($N$21=3,Y73,IF($N$21=6,Z73,IF($N$21=9,AA73,IF($N$21=2,AB73,IF($N$21=8,AC73,0))))))))))</f>
        <v>0</v>
      </c>
      <c r="E73" s="250" t="str">
        <f>VLOOKUP("Einfassungsplatte, zum Einfalzen",Sprachindex!A:Z,Info!$O$6,FALSE)</f>
        <v>Einfassungsplatte, zum Einfalzen</v>
      </c>
      <c r="F73" s="251"/>
      <c r="G73" s="251"/>
      <c r="H73" s="251"/>
      <c r="I73" s="251"/>
      <c r="J73" s="251"/>
      <c r="K73" s="257"/>
      <c r="L73" s="96" t="str">
        <f>IF(A73=0,"",IF($N$11=1,P73,Q73))</f>
        <v/>
      </c>
      <c r="M73" s="102"/>
      <c r="O73" s="171"/>
      <c r="P73" s="191" t="str">
        <f>ROUNDUP($A73/5,0)*5 &amp;" " &amp; Formeln!$A$111</f>
        <v>0 STK</v>
      </c>
      <c r="Q73" s="191" t="str">
        <f>ROUNDUP($A73,0) &amp;" " &amp; Formeln!$A$111</f>
        <v>0 STK</v>
      </c>
      <c r="R73" s="187"/>
      <c r="T73" s="46">
        <v>110230</v>
      </c>
      <c r="U73" s="46">
        <v>110231</v>
      </c>
      <c r="V73" s="46">
        <v>110232</v>
      </c>
      <c r="W73" s="46">
        <v>110233</v>
      </c>
      <c r="X73" s="46">
        <v>110234</v>
      </c>
      <c r="Y73" s="46">
        <v>110235</v>
      </c>
      <c r="Z73" s="46">
        <v>110236</v>
      </c>
      <c r="AA73" s="46">
        <v>110237</v>
      </c>
      <c r="AB73" s="46">
        <v>110238</v>
      </c>
      <c r="AC73" s="46">
        <v>110239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4"/>
        <v>0</v>
      </c>
      <c r="E74" s="250" t="str">
        <f>VLOOKUP("Universaleinfassungsplatte, 2-teilig ",Sprachindex!A:Z,Info!$O$6,FALSE)</f>
        <v xml:space="preserve">Universaleinfassungsplatte, 2-teilig </v>
      </c>
      <c r="F74" s="251"/>
      <c r="G74" s="251"/>
      <c r="H74" s="251"/>
      <c r="I74" s="251"/>
      <c r="J74" s="251"/>
      <c r="K74" s="257"/>
      <c r="L74" s="96" t="str">
        <f t="shared" si="5"/>
        <v/>
      </c>
      <c r="M74" s="102"/>
      <c r="O74" s="171"/>
      <c r="P74" s="191" t="str">
        <f>ROUNDUP($A74,0) &amp;" " &amp; Formeln!$A$111</f>
        <v>0 STK</v>
      </c>
      <c r="Q74" s="191" t="str">
        <f>ROUNDUP($A74,0) &amp;" " &amp; Formeln!$A$111</f>
        <v>0 STK</v>
      </c>
      <c r="R74" s="187"/>
      <c r="T74" s="46">
        <v>110240</v>
      </c>
      <c r="U74" s="46">
        <v>110241</v>
      </c>
      <c r="V74" s="46">
        <v>110242</v>
      </c>
      <c r="W74" s="46">
        <v>110243</v>
      </c>
      <c r="X74" s="46">
        <v>110244</v>
      </c>
      <c r="Y74" s="46">
        <v>110245</v>
      </c>
      <c r="Z74" s="46">
        <v>110246</v>
      </c>
      <c r="AA74" s="46">
        <v>110247</v>
      </c>
      <c r="AB74" s="46">
        <v>110248</v>
      </c>
      <c r="AC74" s="46">
        <v>110249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 t="shared" si="4"/>
        <v>0</v>
      </c>
      <c r="E75" s="250" t="str">
        <f>VLOOKUP("Entlüftungshaube 100",Sprachindex!A:Z,Info!$O$6,FALSE)</f>
        <v>Entlüftungshaube 100</v>
      </c>
      <c r="F75" s="251"/>
      <c r="G75" s="251"/>
      <c r="H75" s="251"/>
      <c r="I75" s="251"/>
      <c r="J75" s="251"/>
      <c r="K75" s="257"/>
      <c r="L75" s="96" t="str">
        <f t="shared" si="5"/>
        <v/>
      </c>
      <c r="M75" s="102"/>
      <c r="O75" s="171"/>
      <c r="P75" s="191" t="str">
        <f>ROUNDUP($A75,0) &amp;" " &amp; Formeln!$A$111</f>
        <v>0 STK</v>
      </c>
      <c r="Q75" s="191" t="str">
        <f>ROUNDUP($A75,0) &amp;" " &amp; Formeln!$A$111</f>
        <v>0 STK</v>
      </c>
      <c r="R75" s="187"/>
      <c r="T75" s="46">
        <v>110280</v>
      </c>
      <c r="U75" s="46">
        <v>110281</v>
      </c>
      <c r="V75" s="46">
        <v>110282</v>
      </c>
      <c r="W75" s="46">
        <v>110283</v>
      </c>
      <c r="X75" s="46">
        <v>110284</v>
      </c>
      <c r="Y75" s="46">
        <v>110285</v>
      </c>
      <c r="Z75" s="46">
        <v>110286</v>
      </c>
      <c r="AA75" s="46">
        <v>110287</v>
      </c>
      <c r="AB75" s="46">
        <v>110288</v>
      </c>
      <c r="AC75" s="46">
        <v>110289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95">
        <f t="shared" si="4"/>
        <v>0</v>
      </c>
      <c r="E76" s="250" t="str">
        <f>VLOOKUP("Entlüftungsrohr DM 100",Sprachindex!A:Z,Info!$O$6,FALSE)</f>
        <v>Entlüftungsrohr DM 100</v>
      </c>
      <c r="F76" s="251"/>
      <c r="G76" s="251"/>
      <c r="H76" s="251"/>
      <c r="I76" s="251"/>
      <c r="J76" s="251"/>
      <c r="K76" s="257"/>
      <c r="L76" s="96" t="str">
        <f t="shared" si="5"/>
        <v/>
      </c>
      <c r="M76" s="102"/>
      <c r="O76" s="171"/>
      <c r="P76" s="191" t="str">
        <f>ROUNDUP($A76,0) &amp;" " &amp; Formeln!$A$111</f>
        <v>0 STK</v>
      </c>
      <c r="Q76" s="191" t="str">
        <f>ROUNDUP($A76,0) &amp;" " &amp; Formeln!$A$111</f>
        <v>0 STK</v>
      </c>
      <c r="R76" s="187"/>
      <c r="T76" s="46">
        <v>110200</v>
      </c>
      <c r="U76" s="46">
        <v>110201</v>
      </c>
      <c r="V76" s="46">
        <v>110202</v>
      </c>
      <c r="W76" s="46">
        <v>110203</v>
      </c>
      <c r="X76" s="46">
        <v>110204</v>
      </c>
      <c r="Y76" s="46">
        <v>110205</v>
      </c>
      <c r="Z76" s="46">
        <v>110206</v>
      </c>
      <c r="AA76" s="46">
        <v>110207</v>
      </c>
      <c r="AB76" s="46">
        <v>110208</v>
      </c>
      <c r="AC76" s="46">
        <v>121015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 t="shared" si="4"/>
        <v>0</v>
      </c>
      <c r="E77" s="250" t="str">
        <f>VLOOKUP("Entlüftungsrohr DM 120",Sprachindex!A:Z,Info!$O$6,FALSE)</f>
        <v>Entlüftungsrohr DM 120</v>
      </c>
      <c r="F77" s="251"/>
      <c r="G77" s="251"/>
      <c r="H77" s="251"/>
      <c r="I77" s="251"/>
      <c r="J77" s="251"/>
      <c r="K77" s="257"/>
      <c r="L77" s="96" t="str">
        <f t="shared" si="5"/>
        <v/>
      </c>
      <c r="M77" s="102"/>
      <c r="O77" s="171"/>
      <c r="P77" s="191" t="str">
        <f>ROUNDUP($A77,0) &amp;" " &amp; Formeln!$A$111</f>
        <v>0 STK</v>
      </c>
      <c r="Q77" s="191" t="str">
        <f>ROUNDUP($A77,0) &amp;" " &amp; Formeln!$A$111</f>
        <v>0 STK</v>
      </c>
      <c r="R77" s="187"/>
      <c r="T77" s="46">
        <v>110210</v>
      </c>
      <c r="U77" s="46">
        <v>110211</v>
      </c>
      <c r="V77" s="46">
        <v>110212</v>
      </c>
      <c r="W77" s="46">
        <v>110213</v>
      </c>
      <c r="X77" s="46">
        <v>110214</v>
      </c>
      <c r="Y77" s="46">
        <v>110215</v>
      </c>
      <c r="Z77" s="46">
        <v>110216</v>
      </c>
      <c r="AA77" s="46">
        <v>110217</v>
      </c>
      <c r="AB77" s="46">
        <v>110218</v>
      </c>
      <c r="AC77" s="46">
        <v>121025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100">
        <v>340943</v>
      </c>
      <c r="E78" s="250" t="str">
        <f>VLOOKUP("Faltmanschette 100",Sprachindex!A:Z,Info!$O$6,FALSE)</f>
        <v>Faltmanschette 100</v>
      </c>
      <c r="F78" s="251"/>
      <c r="G78" s="251"/>
      <c r="H78" s="251"/>
      <c r="I78" s="251"/>
      <c r="J78" s="251"/>
      <c r="K78" s="257"/>
      <c r="L78" s="96" t="str">
        <f t="shared" si="5"/>
        <v/>
      </c>
      <c r="M78" s="102"/>
      <c r="O78" s="171"/>
      <c r="P78" s="191" t="str">
        <f>ROUNDUP($A78,0) &amp;" " &amp; Formeln!$A$111</f>
        <v>0 STK</v>
      </c>
      <c r="Q78" s="191" t="str">
        <f>ROUNDUP($A78,0) &amp;" " &amp; Formeln!$A$111</f>
        <v>0 STK</v>
      </c>
      <c r="R78" s="187"/>
      <c r="T78" s="49" t="s">
        <v>29</v>
      </c>
      <c r="U78" s="49" t="s">
        <v>30</v>
      </c>
      <c r="V78" s="49" t="s">
        <v>31</v>
      </c>
      <c r="W78" s="49" t="s">
        <v>32</v>
      </c>
      <c r="X78" s="49" t="s">
        <v>33</v>
      </c>
      <c r="Y78" s="49" t="s">
        <v>34</v>
      </c>
      <c r="Z78" s="49" t="s">
        <v>35</v>
      </c>
      <c r="AA78" s="49" t="s">
        <v>36</v>
      </c>
      <c r="AB78" s="49" t="s">
        <v>37</v>
      </c>
      <c r="AC78" s="49" t="s">
        <v>38</v>
      </c>
      <c r="AD78" s="49" t="s">
        <v>29</v>
      </c>
      <c r="AE78" s="49" t="s">
        <v>30</v>
      </c>
      <c r="AF78" s="49" t="s">
        <v>31</v>
      </c>
      <c r="AG78" s="49" t="s">
        <v>32</v>
      </c>
      <c r="AH78" s="49" t="s">
        <v>33</v>
      </c>
      <c r="AI78" s="49" t="s">
        <v>34</v>
      </c>
      <c r="AJ78" s="49" t="s">
        <v>35</v>
      </c>
      <c r="AK78" s="49" t="s">
        <v>36</v>
      </c>
      <c r="AL78" s="49" t="s">
        <v>37</v>
      </c>
      <c r="AM78" s="49" t="s">
        <v>38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250" t="str">
        <f>VLOOKUP("Unterlagsplatte, für DS, DR29, DP, R.16, FX.12",Sprachindex!A:Z,Info!$O$6,FALSE)</f>
        <v>Unterlagsplatte, für DS, DR29, DP, R.16, FX.12</v>
      </c>
      <c r="F79" s="251"/>
      <c r="G79" s="251"/>
      <c r="H79" s="251"/>
      <c r="I79" s="251"/>
      <c r="J79" s="251"/>
      <c r="K79" s="257"/>
      <c r="L79" s="96" t="str">
        <f t="shared" si="5"/>
        <v/>
      </c>
      <c r="M79" s="102"/>
      <c r="O79" s="171"/>
      <c r="P79" s="191" t="str">
        <f>ROUNDUP($A79/15,0)*15 &amp;" " &amp; Formeln!$A$111</f>
        <v>0 STK</v>
      </c>
      <c r="Q79" s="191" t="str">
        <f>ROUNDUP($A79,0) &amp;" " &amp; Formeln!$A$111</f>
        <v>0 STK</v>
      </c>
      <c r="R79" s="187"/>
      <c r="T79" s="46">
        <v>110360</v>
      </c>
      <c r="U79" s="46">
        <v>110361</v>
      </c>
      <c r="V79" s="46">
        <v>110362</v>
      </c>
      <c r="W79" s="46">
        <v>110363</v>
      </c>
      <c r="X79" s="46">
        <v>110364</v>
      </c>
      <c r="Y79" s="46">
        <v>110365</v>
      </c>
      <c r="Z79" s="46">
        <v>110366</v>
      </c>
      <c r="AA79" s="46">
        <v>110367</v>
      </c>
      <c r="AB79" s="46">
        <v>110368</v>
      </c>
      <c r="AD79" s="46">
        <v>110370</v>
      </c>
      <c r="AE79" s="46">
        <v>110371</v>
      </c>
      <c r="AF79" s="46">
        <v>110372</v>
      </c>
      <c r="AG79" s="46">
        <v>110373</v>
      </c>
      <c r="AH79" s="46">
        <v>110374</v>
      </c>
      <c r="AI79" s="46">
        <v>110375</v>
      </c>
      <c r="AJ79" s="46">
        <v>110376</v>
      </c>
      <c r="AK79" s="46">
        <v>110377</v>
      </c>
      <c r="AL79" s="46">
        <v>110378</v>
      </c>
      <c r="AM79" s="1">
        <v>110379</v>
      </c>
    </row>
    <row r="80" spans="1:39" ht="32.1" customHeight="1">
      <c r="A80" s="118"/>
      <c r="B80" s="96" t="str">
        <f>VLOOKUP("Stk",Sprachindex!A:Z,Info!$O$6,FALSE)</f>
        <v>STK</v>
      </c>
      <c r="C80" s="98"/>
      <c r="D80" s="95">
        <f t="shared" ref="D80:D93" si="6">IF($N$21=1,T80,IF($N$21=4,U80,IF($N$21=5,V80,IF($N$21=11,W80,IF($N$21=7,X80,IF($N$21=3,Y80,IF($N$21=6,Z80,IF($N$21=9,AA80,IF($N$21=2,AB80,IF($N$21=8,AC80,0))))))))))</f>
        <v>0</v>
      </c>
      <c r="E80" s="250" t="str">
        <f>VLOOKUP("Schneestopper, Typ PP/PD, für DP, DR29",Sprachindex!A:Z,Info!$O$6,FALSE)</f>
        <v>Schneestopper, Typ PP/PD, für DP, DR29</v>
      </c>
      <c r="F80" s="251"/>
      <c r="G80" s="251"/>
      <c r="H80" s="251"/>
      <c r="I80" s="251"/>
      <c r="J80" s="251"/>
      <c r="K80" s="257"/>
      <c r="L80" s="96" t="str">
        <f t="shared" si="5"/>
        <v/>
      </c>
      <c r="M80" s="102"/>
      <c r="O80" s="171"/>
      <c r="P80" s="191" t="str">
        <f>ROUNDUP($A80/100,0)*100 &amp;" " &amp; Formeln!$A$111</f>
        <v>0 STK</v>
      </c>
      <c r="Q80" s="191" t="str">
        <f>ROUNDUP($A80,0) &amp;" " &amp; Formeln!$A$111</f>
        <v>0 STK</v>
      </c>
      <c r="R80" s="187"/>
      <c r="T80" s="46">
        <v>110300</v>
      </c>
      <c r="U80" s="46">
        <v>110301</v>
      </c>
      <c r="V80" s="46">
        <v>110302</v>
      </c>
      <c r="W80" s="46">
        <v>110303</v>
      </c>
      <c r="X80" s="46">
        <v>110304</v>
      </c>
      <c r="Y80" s="46">
        <v>110305</v>
      </c>
      <c r="Z80" s="46">
        <v>110306</v>
      </c>
      <c r="AA80" s="46">
        <v>110307</v>
      </c>
      <c r="AB80" s="46">
        <v>110308</v>
      </c>
      <c r="AC80" s="46">
        <v>110309</v>
      </c>
    </row>
    <row r="81" spans="1:39" ht="32.1" customHeight="1">
      <c r="A81" s="118"/>
      <c r="B81" s="96" t="str">
        <f>VLOOKUP("Stk",Sprachindex!A:Z,Info!$O$6,FALSE)</f>
        <v>STK</v>
      </c>
      <c r="C81" s="98"/>
      <c r="D81" s="95">
        <f t="shared" si="6"/>
        <v>0</v>
      </c>
      <c r="E81" s="250" t="str">
        <f>VLOOKUP("Haken für Schneerechensystem, inkl. Befestigungsmaterial",Sprachindex!A:Z,Info!$O$6,FALSE)</f>
        <v>Haken für Schneerechensystem, inkl. Befestigungsmaterial</v>
      </c>
      <c r="F81" s="251"/>
      <c r="G81" s="251"/>
      <c r="H81" s="251"/>
      <c r="I81" s="251"/>
      <c r="J81" s="251"/>
      <c r="K81" s="257"/>
      <c r="L81" s="96" t="str">
        <f t="shared" si="5"/>
        <v/>
      </c>
      <c r="M81" s="102"/>
      <c r="O81" s="171"/>
      <c r="P81" s="191" t="str">
        <f>ROUNDUP($A81/2,0)*2 &amp;" " &amp; Formeln!$A$111</f>
        <v>0 STK</v>
      </c>
      <c r="Q81" s="191" t="str">
        <f>ROUNDUP($A81,0) &amp;" " &amp; Formeln!$A$111</f>
        <v>0 STK</v>
      </c>
      <c r="R81" s="187"/>
      <c r="T81" s="46">
        <v>120180</v>
      </c>
      <c r="U81" s="46">
        <v>120181</v>
      </c>
      <c r="V81" s="46">
        <v>120182</v>
      </c>
      <c r="W81" s="46">
        <v>120183</v>
      </c>
      <c r="X81" s="46">
        <v>120184</v>
      </c>
      <c r="Y81" s="46">
        <v>120185</v>
      </c>
      <c r="Z81" s="46">
        <v>120186</v>
      </c>
      <c r="AA81" s="46">
        <v>120187</v>
      </c>
      <c r="AB81" s="46">
        <v>120188</v>
      </c>
      <c r="AC81" s="46">
        <v>120189</v>
      </c>
    </row>
    <row r="82" spans="1:39" ht="32.1" customHeight="1">
      <c r="A82" s="118"/>
      <c r="B82" s="96" t="str">
        <f>VLOOKUP("lfm",Sprachindex!A:Z,Info!$O$6,FALSE)</f>
        <v>lfm</v>
      </c>
      <c r="C82" s="98"/>
      <c r="D82" s="95">
        <f t="shared" si="6"/>
        <v>0</v>
      </c>
      <c r="E82" s="250" t="str">
        <f>VLOOKUP("Einlegeprofil f.Schneerechensystem, 3m",Sprachindex!A:Z,Info!$O$6,FALSE)</f>
        <v>Einlegeprofil f.Schneerechensystem, 3m</v>
      </c>
      <c r="F82" s="251"/>
      <c r="G82" s="251"/>
      <c r="H82" s="251"/>
      <c r="I82" s="251"/>
      <c r="J82" s="251"/>
      <c r="K82" s="257"/>
      <c r="L82" s="96" t="str">
        <f t="shared" si="5"/>
        <v/>
      </c>
      <c r="M82" s="102"/>
      <c r="O82" s="171"/>
      <c r="P82" s="191" t="str">
        <f>ROUNDUP($A82/3,0)*3 &amp;" " &amp; Formeln!$A$112 &amp; "                " &amp; "(="&amp;ROUNDUP($A82/3,0) &amp; " " &amp;Formeln!$A$111 &amp; ")"</f>
        <v>0 lfm                (=0 STK)</v>
      </c>
      <c r="Q82" s="191" t="str">
        <f>ROUNDUP($A82/3,0)*3 &amp;" " &amp; Formeln!$A$112 &amp; "                " &amp; "(="&amp;ROUNDUP($A82/3,0) &amp; " " &amp;Formeln!$A$111 &amp; ")"</f>
        <v>0 lfm                (=0 STK)</v>
      </c>
      <c r="R82" s="187"/>
      <c r="T82" s="46">
        <v>120350</v>
      </c>
      <c r="U82" s="46">
        <v>120351</v>
      </c>
      <c r="V82" s="46">
        <v>120352</v>
      </c>
      <c r="W82" s="46">
        <v>120353</v>
      </c>
      <c r="X82" s="46">
        <v>120354</v>
      </c>
      <c r="Y82" s="46">
        <v>120355</v>
      </c>
      <c r="Z82" s="46">
        <v>120356</v>
      </c>
      <c r="AA82" s="46">
        <v>120357</v>
      </c>
      <c r="AB82" s="46">
        <v>120358</v>
      </c>
      <c r="AC82" s="46">
        <v>120359</v>
      </c>
    </row>
    <row r="83" spans="1:39" ht="32.1" customHeight="1">
      <c r="A83" s="118"/>
      <c r="B83" s="96" t="str">
        <f>VLOOKUP("Stk",Sprachindex!A:Z,Info!$O$6,FALSE)</f>
        <v>STK</v>
      </c>
      <c r="C83" s="98"/>
      <c r="D83" s="95">
        <f t="shared" si="6"/>
        <v>0</v>
      </c>
      <c r="E83" s="250" t="str">
        <f>VLOOKUP("Eiskralle f. Einlegeprofil",Sprachindex!A:Z,Info!$O$6,FALSE)</f>
        <v>Eiskralle f. Einlegeprofil</v>
      </c>
      <c r="F83" s="251"/>
      <c r="G83" s="251"/>
      <c r="H83" s="251"/>
      <c r="I83" s="251"/>
      <c r="J83" s="251"/>
      <c r="K83" s="257"/>
      <c r="L83" s="96" t="str">
        <f t="shared" si="5"/>
        <v/>
      </c>
      <c r="M83" s="102"/>
      <c r="O83" s="171"/>
      <c r="P83" s="191" t="str">
        <f>ROUNDUP($A83/100,0)*100 &amp;" " &amp; Formeln!$A$111</f>
        <v>0 STK</v>
      </c>
      <c r="Q83" s="191" t="str">
        <f>ROUNDUP($A83,0) &amp;" " &amp; Formeln!$A$111</f>
        <v>0 STK</v>
      </c>
      <c r="R83" s="187"/>
      <c r="T83" s="46">
        <v>120700</v>
      </c>
      <c r="U83" s="46">
        <v>120701</v>
      </c>
      <c r="V83" s="46">
        <v>120702</v>
      </c>
      <c r="W83" s="46">
        <v>120703</v>
      </c>
      <c r="X83" s="46">
        <v>120704</v>
      </c>
      <c r="Y83" s="46">
        <v>120705</v>
      </c>
      <c r="Z83" s="46">
        <v>120706</v>
      </c>
      <c r="AA83" s="46">
        <v>120707</v>
      </c>
      <c r="AB83" s="46">
        <v>120708</v>
      </c>
      <c r="AC83" s="46">
        <v>120709</v>
      </c>
    </row>
    <row r="84" spans="1:39" ht="32.1" customHeight="1">
      <c r="A84" s="118"/>
      <c r="B84" s="96" t="str">
        <f>VLOOKUP("Stk",Sprachindex!A:Z,Info!$O$6,FALSE)</f>
        <v>STK</v>
      </c>
      <c r="C84" s="98"/>
      <c r="D84" s="95">
        <f t="shared" si="6"/>
        <v>0</v>
      </c>
      <c r="E84" s="250" t="str">
        <f>VLOOKUP("Abschluss f. Schneerechensystem",Sprachindex!A:Z,Info!$O$6,FALSE)</f>
        <v>Abschluss f. Schneerechensystem</v>
      </c>
      <c r="F84" s="251"/>
      <c r="G84" s="251"/>
      <c r="H84" s="251"/>
      <c r="I84" s="251"/>
      <c r="J84" s="251"/>
      <c r="K84" s="257"/>
      <c r="L84" s="96" t="str">
        <f t="shared" si="5"/>
        <v/>
      </c>
      <c r="M84" s="102"/>
      <c r="O84" s="171"/>
      <c r="P84" s="191" t="str">
        <f>ROUNDUP($A84/2,0)*2 &amp;" " &amp; Formeln!$A$111</f>
        <v>0 STK</v>
      </c>
      <c r="Q84" s="191" t="str">
        <f>ROUNDUP($A84,0) &amp;" " &amp; Formeln!$A$111</f>
        <v>0 STK</v>
      </c>
      <c r="R84" s="187"/>
      <c r="T84" s="46">
        <v>120390</v>
      </c>
      <c r="U84" s="46">
        <v>120391</v>
      </c>
      <c r="V84" s="46">
        <v>120392</v>
      </c>
      <c r="W84" s="46">
        <v>120393</v>
      </c>
      <c r="X84" s="46">
        <v>120394</v>
      </c>
      <c r="Y84" s="46">
        <v>120395</v>
      </c>
      <c r="Z84" s="46">
        <v>120396</v>
      </c>
      <c r="AA84" s="46">
        <v>120397</v>
      </c>
      <c r="AB84" s="46">
        <v>120398</v>
      </c>
      <c r="AC84" s="46">
        <v>120399</v>
      </c>
    </row>
    <row r="85" spans="1:39" ht="32.1" customHeight="1">
      <c r="A85" s="118"/>
      <c r="B85" s="96" t="str">
        <f>VLOOKUP("Stk",Sprachindex!A:Z,Info!$O$6,FALSE)</f>
        <v>STK</v>
      </c>
      <c r="C85" s="98"/>
      <c r="D85" s="95">
        <f t="shared" si="6"/>
        <v>0</v>
      </c>
      <c r="E85" s="250" t="str">
        <f>VLOOKUP("Gebirgsschneefangstütze, inkl. Befestigungsmaterial",Sprachindex!A:Z,Info!$O$6,FALSE)</f>
        <v>Gebirgsschneefangstütze, inkl. Befestigungsmaterial</v>
      </c>
      <c r="F85" s="251"/>
      <c r="G85" s="251"/>
      <c r="H85" s="251"/>
      <c r="I85" s="251"/>
      <c r="J85" s="251"/>
      <c r="K85" s="257"/>
      <c r="L85" s="96" t="str">
        <f t="shared" si="5"/>
        <v/>
      </c>
      <c r="M85" s="102"/>
      <c r="O85" s="171"/>
      <c r="P85" s="191" t="str">
        <f>ROUNDUP($A85/2,0)*2 &amp;" " &amp; Formeln!$A$111</f>
        <v>0 STK</v>
      </c>
      <c r="Q85" s="191" t="str">
        <f>ROUNDUP($A85,0) &amp;" " &amp; Formeln!$A$111</f>
        <v>0 STK</v>
      </c>
      <c r="R85" s="187"/>
      <c r="T85" s="46">
        <v>120150</v>
      </c>
      <c r="U85" s="46">
        <v>120151</v>
      </c>
      <c r="V85" s="46">
        <v>120152</v>
      </c>
      <c r="W85" s="46">
        <v>120153</v>
      </c>
      <c r="X85" s="46">
        <v>120154</v>
      </c>
      <c r="Y85" s="46">
        <v>120155</v>
      </c>
      <c r="Z85" s="46">
        <v>120156</v>
      </c>
      <c r="AA85" s="46">
        <v>120157</v>
      </c>
      <c r="AB85" s="46">
        <v>120158</v>
      </c>
      <c r="AC85" s="46">
        <v>120159</v>
      </c>
    </row>
    <row r="86" spans="1:39" ht="32.1" customHeight="1">
      <c r="A86" s="118"/>
      <c r="B86" s="96" t="str">
        <f>VLOOKUP("Stk",Sprachindex!A:Z,Info!$O$6,FALSE)</f>
        <v>STK</v>
      </c>
      <c r="C86" s="98"/>
      <c r="D86" s="95">
        <f t="shared" si="6"/>
        <v>0</v>
      </c>
      <c r="E86" s="250" t="str">
        <f>VLOOKUP("Kaminhut, inkl. Kaminstreben, 700x700mm",Sprachindex!A:Z,Info!$O$6,FALSE)</f>
        <v>Kaminhut, inkl. Kaminstreben, 700x700mm</v>
      </c>
      <c r="F86" s="251"/>
      <c r="G86" s="251"/>
      <c r="H86" s="251"/>
      <c r="I86" s="251"/>
      <c r="J86" s="251"/>
      <c r="K86" s="257"/>
      <c r="L86" s="96" t="str">
        <f t="shared" si="5"/>
        <v/>
      </c>
      <c r="M86" s="102"/>
      <c r="O86" s="171"/>
      <c r="P86" s="191" t="str">
        <f>ROUNDUP($A86,0) &amp;" " &amp; Formeln!$A$111</f>
        <v>0 STK</v>
      </c>
      <c r="Q86" s="191" t="str">
        <f>ROUNDUP($A86,0) &amp;" " &amp; Formeln!$A$111</f>
        <v>0 STK</v>
      </c>
      <c r="R86" s="187"/>
      <c r="T86" s="46">
        <v>110420</v>
      </c>
      <c r="U86" s="46">
        <v>110421</v>
      </c>
      <c r="V86" s="46">
        <v>110422</v>
      </c>
      <c r="W86" s="46">
        <v>110423</v>
      </c>
      <c r="X86" s="46">
        <v>110424</v>
      </c>
      <c r="Y86" s="46">
        <v>110425</v>
      </c>
      <c r="Z86" s="46">
        <v>110426</v>
      </c>
      <c r="AA86" s="46">
        <v>110427</v>
      </c>
      <c r="AB86" s="46">
        <v>110428</v>
      </c>
      <c r="AC86" s="46">
        <v>110429</v>
      </c>
    </row>
    <row r="87" spans="1:39" ht="32.1" customHeight="1">
      <c r="A87" s="118"/>
      <c r="B87" s="96" t="str">
        <f>VLOOKUP("Stk",Sprachindex!A:Z,Info!$O$6,FALSE)</f>
        <v>STK</v>
      </c>
      <c r="C87" s="98"/>
      <c r="D87" s="95">
        <f t="shared" si="6"/>
        <v>0</v>
      </c>
      <c r="E87" s="250" t="str">
        <f>VLOOKUP("Kaminhut, inkl. Kaminstreben, 800x800mm",Sprachindex!A:Z,Info!$O$6,FALSE)</f>
        <v>Kaminhut, inkl. Kaminstreben, 800x800mm</v>
      </c>
      <c r="F87" s="251"/>
      <c r="G87" s="251"/>
      <c r="H87" s="251"/>
      <c r="I87" s="251"/>
      <c r="J87" s="251"/>
      <c r="K87" s="257"/>
      <c r="L87" s="96" t="str">
        <f t="shared" si="5"/>
        <v/>
      </c>
      <c r="M87" s="102"/>
      <c r="O87" s="171"/>
      <c r="P87" s="191" t="str">
        <f>ROUNDUP($A87,0) &amp;" " &amp; Formeln!$A$111</f>
        <v>0 STK</v>
      </c>
      <c r="Q87" s="191" t="str">
        <f>ROUNDUP($A87,0) &amp;" " &amp; Formeln!$A$111</f>
        <v>0 STK</v>
      </c>
      <c r="R87" s="187"/>
      <c r="T87" s="46">
        <v>110430</v>
      </c>
      <c r="U87" s="46">
        <v>110431</v>
      </c>
      <c r="V87" s="46">
        <v>110432</v>
      </c>
      <c r="W87" s="46">
        <v>110433</v>
      </c>
      <c r="X87" s="46">
        <v>110434</v>
      </c>
      <c r="Y87" s="46">
        <v>110435</v>
      </c>
      <c r="Z87" s="46">
        <v>110436</v>
      </c>
      <c r="AA87" s="46">
        <v>110437</v>
      </c>
      <c r="AB87" s="46">
        <v>110438</v>
      </c>
      <c r="AC87" s="46">
        <v>110439</v>
      </c>
    </row>
    <row r="88" spans="1:39" ht="32.1" customHeight="1">
      <c r="A88" s="118"/>
      <c r="B88" s="96" t="str">
        <f>VLOOKUP("Stk",Sprachindex!A:Z,Info!$O$6,FALSE)</f>
        <v>STK</v>
      </c>
      <c r="C88" s="98"/>
      <c r="D88" s="95">
        <f t="shared" si="6"/>
        <v>0</v>
      </c>
      <c r="E88" s="250" t="str">
        <f>VLOOKUP("Kaminhut, inkl. Kaminstreben, 1000x700mm",Sprachindex!A:Z,Info!$O$6,FALSE)</f>
        <v>Kaminhut, inkl. Kaminstreben, 1000x700mm</v>
      </c>
      <c r="F88" s="251"/>
      <c r="G88" s="251"/>
      <c r="H88" s="251"/>
      <c r="I88" s="251"/>
      <c r="J88" s="251"/>
      <c r="K88" s="257"/>
      <c r="L88" s="96" t="str">
        <f t="shared" si="5"/>
        <v/>
      </c>
      <c r="M88" s="102"/>
      <c r="O88" s="171"/>
      <c r="P88" s="191" t="str">
        <f>ROUNDUP($A88,0) &amp;" " &amp; Formeln!$A$111</f>
        <v>0 STK</v>
      </c>
      <c r="Q88" s="191" t="str">
        <f>ROUNDUP($A88,0) &amp;" " &amp; Formeln!$A$111</f>
        <v>0 STK</v>
      </c>
      <c r="R88" s="187"/>
      <c r="T88" s="46">
        <v>110440</v>
      </c>
      <c r="U88" s="46">
        <v>110441</v>
      </c>
      <c r="V88" s="46">
        <v>110442</v>
      </c>
      <c r="W88" s="46">
        <v>110443</v>
      </c>
      <c r="X88" s="46">
        <v>110444</v>
      </c>
      <c r="Y88" s="46">
        <v>110445</v>
      </c>
      <c r="Z88" s="46">
        <v>110446</v>
      </c>
      <c r="AA88" s="46">
        <v>110447</v>
      </c>
      <c r="AB88" s="46">
        <v>110448</v>
      </c>
      <c r="AC88" s="46">
        <v>110449</v>
      </c>
    </row>
    <row r="89" spans="1:39" ht="32.1" customHeight="1">
      <c r="A89" s="118"/>
      <c r="B89" s="96" t="str">
        <f>VLOOKUP("Stk",Sprachindex!A:Z,Info!$O$6,FALSE)</f>
        <v>STK</v>
      </c>
      <c r="C89" s="98"/>
      <c r="D89" s="95">
        <f t="shared" si="6"/>
        <v>0</v>
      </c>
      <c r="E89" s="250" t="str">
        <f>VLOOKUP("Kaminhut, inkl. Kaminstreben, 1100x800mm",Sprachindex!A:Z,Info!$O$6,FALSE)</f>
        <v>Kaminhut, inkl. Kaminstreben, 1100x800mm</v>
      </c>
      <c r="F89" s="251"/>
      <c r="G89" s="251"/>
      <c r="H89" s="251"/>
      <c r="I89" s="251"/>
      <c r="J89" s="251"/>
      <c r="K89" s="257"/>
      <c r="L89" s="96" t="str">
        <f t="shared" si="5"/>
        <v/>
      </c>
      <c r="M89" s="102"/>
      <c r="O89" s="171"/>
      <c r="P89" s="191" t="str">
        <f>ROUNDUP($A89,0) &amp;" " &amp; Formeln!$A$111</f>
        <v>0 STK</v>
      </c>
      <c r="Q89" s="191" t="str">
        <f>ROUNDUP($A89,0) &amp;" " &amp; Formeln!$A$111</f>
        <v>0 STK</v>
      </c>
      <c r="R89" s="187"/>
      <c r="T89" s="46">
        <v>110450</v>
      </c>
      <c r="U89" s="46">
        <v>110451</v>
      </c>
      <c r="V89" s="46">
        <v>110452</v>
      </c>
      <c r="W89" s="46">
        <v>110453</v>
      </c>
      <c r="X89" s="46">
        <v>110454</v>
      </c>
      <c r="Y89" s="46">
        <v>110455</v>
      </c>
      <c r="Z89" s="46">
        <v>110456</v>
      </c>
      <c r="AA89" s="46">
        <v>110457</v>
      </c>
      <c r="AB89" s="46">
        <v>110458</v>
      </c>
      <c r="AC89" s="46">
        <v>110459</v>
      </c>
    </row>
    <row r="90" spans="1:39" ht="32.1" customHeight="1">
      <c r="A90" s="118"/>
      <c r="B90" s="96" t="str">
        <f>VLOOKUP("Stk",Sprachindex!A:Z,Info!$O$6,FALSE)</f>
        <v>STK</v>
      </c>
      <c r="C90" s="98"/>
      <c r="D90" s="95">
        <f t="shared" si="6"/>
        <v>0</v>
      </c>
      <c r="E90" s="250" t="str">
        <f>VLOOKUP("Kaminhut, inkl. Kaminstreben, 1500x800mm",Sprachindex!A:Z,Info!$O$6,FALSE)</f>
        <v>Kaminhut, inkl. Kaminstreben, 1500x800mm</v>
      </c>
      <c r="F90" s="251"/>
      <c r="G90" s="251"/>
      <c r="H90" s="251"/>
      <c r="I90" s="251"/>
      <c r="J90" s="251"/>
      <c r="K90" s="257"/>
      <c r="L90" s="96" t="str">
        <f t="shared" si="5"/>
        <v/>
      </c>
      <c r="M90" s="102"/>
      <c r="O90" s="171"/>
      <c r="P90" s="191" t="str">
        <f>ROUNDUP($A90,0) &amp;" " &amp; Formeln!$A$111</f>
        <v>0 STK</v>
      </c>
      <c r="Q90" s="191" t="str">
        <f>ROUNDUP($A90,0) &amp;" " &amp; Formeln!$A$111</f>
        <v>0 STK</v>
      </c>
      <c r="R90" s="187"/>
      <c r="T90" s="46">
        <v>110460</v>
      </c>
      <c r="U90" s="46">
        <v>110461</v>
      </c>
      <c r="V90" s="46">
        <v>110462</v>
      </c>
      <c r="W90" s="46">
        <v>110463</v>
      </c>
      <c r="X90" s="46">
        <v>110464</v>
      </c>
      <c r="Y90" s="46">
        <v>110465</v>
      </c>
      <c r="Z90" s="46">
        <v>110466</v>
      </c>
      <c r="AA90" s="46">
        <v>110467</v>
      </c>
      <c r="AB90" s="46">
        <v>110468</v>
      </c>
      <c r="AC90" s="46">
        <v>110469</v>
      </c>
    </row>
    <row r="91" spans="1:39" ht="32.1" customHeight="1">
      <c r="A91" s="118"/>
      <c r="B91" s="96" t="str">
        <f>VLOOKUP("Stk",Sprachindex!A:Z,Info!$O$6,FALSE)</f>
        <v>STK</v>
      </c>
      <c r="C91" s="98"/>
      <c r="D91" s="95">
        <f t="shared" si="6"/>
        <v>0</v>
      </c>
      <c r="E91" s="250" t="str">
        <f>VLOOKUP("Kaminstreben, gebogen",Sprachindex!A:Z,Info!$O$6,FALSE)</f>
        <v>Kaminstreben, gebogen</v>
      </c>
      <c r="F91" s="251"/>
      <c r="G91" s="251"/>
      <c r="H91" s="251"/>
      <c r="I91" s="251"/>
      <c r="J91" s="251"/>
      <c r="K91" s="257"/>
      <c r="L91" s="96" t="str">
        <f t="shared" si="5"/>
        <v/>
      </c>
      <c r="M91" s="102"/>
      <c r="O91" s="171"/>
      <c r="P91" s="191" t="str">
        <f>ROUNDUP($A91/10,0)*10 &amp;" " &amp; Formeln!$A$111</f>
        <v>0 STK</v>
      </c>
      <c r="Q91" s="191" t="str">
        <f>ROUNDUP($A91,0) &amp;" " &amp; Formeln!$A$111</f>
        <v>0 STK</v>
      </c>
      <c r="R91" s="187"/>
      <c r="T91" s="46">
        <v>110410</v>
      </c>
      <c r="U91" s="46">
        <v>110411</v>
      </c>
      <c r="V91" s="46">
        <v>110412</v>
      </c>
      <c r="W91" s="46">
        <v>110413</v>
      </c>
      <c r="X91" s="46">
        <v>110414</v>
      </c>
      <c r="Y91" s="46">
        <v>110415</v>
      </c>
      <c r="Z91" s="46">
        <v>110416</v>
      </c>
      <c r="AA91" s="46">
        <v>110417</v>
      </c>
      <c r="AB91" s="46">
        <v>110418</v>
      </c>
      <c r="AC91" s="46">
        <v>110419</v>
      </c>
    </row>
    <row r="92" spans="1:39" ht="32.1" customHeight="1">
      <c r="A92" s="118"/>
      <c r="B92" s="96" t="str">
        <f>VLOOKUP("lfm",Sprachindex!A:Z,Info!$O$6,FALSE)</f>
        <v>lfm</v>
      </c>
      <c r="C92" s="98"/>
      <c r="D92" s="95">
        <f t="shared" si="6"/>
        <v>0</v>
      </c>
      <c r="E92" s="250" t="str">
        <f>VLOOKUP("Kaminstreben, 7x35x3000mm",Sprachindex!A:Z,Info!$O$6,FALSE)</f>
        <v>Kaminstreben, 7x35x3000mm</v>
      </c>
      <c r="F92" s="251"/>
      <c r="G92" s="251"/>
      <c r="H92" s="251"/>
      <c r="I92" s="251"/>
      <c r="J92" s="251"/>
      <c r="K92" s="257"/>
      <c r="L92" s="96" t="str">
        <f t="shared" si="5"/>
        <v/>
      </c>
      <c r="M92" s="102"/>
      <c r="O92" s="171"/>
      <c r="P92" s="191" t="str">
        <f>ROUNDUP($A92/3,0)*3 &amp;" " &amp; Formeln!$A$112 &amp; "                " &amp; "(="&amp;ROUNDUP($A92/3,0) &amp; " " &amp;Formeln!$A$111 &amp; ")"</f>
        <v>0 lfm                (=0 STK)</v>
      </c>
      <c r="Q92" s="191" t="str">
        <f>ROUNDUP($A92/3,0)*3 &amp;" " &amp; Formeln!$A$112 &amp; "                " &amp; "(="&amp;ROUNDUP($A92/3,0) &amp; " " &amp;Formeln!$A$111 &amp; ")"</f>
        <v>0 lfm                (=0 STK)</v>
      </c>
      <c r="R92" s="187"/>
      <c r="T92" s="46">
        <v>110400</v>
      </c>
      <c r="U92" s="46">
        <v>110401</v>
      </c>
      <c r="V92" s="46">
        <v>110402</v>
      </c>
      <c r="W92" s="46">
        <v>110403</v>
      </c>
      <c r="X92" s="46">
        <v>110404</v>
      </c>
      <c r="Y92" s="46">
        <v>110405</v>
      </c>
      <c r="Z92" s="46">
        <v>110406</v>
      </c>
      <c r="AA92" s="46">
        <v>110407</v>
      </c>
      <c r="AB92" s="46">
        <v>110408</v>
      </c>
      <c r="AC92" s="140" t="s">
        <v>50</v>
      </c>
    </row>
    <row r="93" spans="1:39" ht="32.1" customHeight="1">
      <c r="A93" s="118"/>
      <c r="B93" s="96" t="str">
        <f>VLOOKUP("Stk",Sprachindex!A:Z,Info!$O$6,FALSE)</f>
        <v>STK</v>
      </c>
      <c r="C93" s="98"/>
      <c r="D93" s="95">
        <f t="shared" si="6"/>
        <v>0</v>
      </c>
      <c r="E93" s="250" t="str">
        <f>VLOOKUP("Hauerbuckel ",Sprachindex!A:Z,Info!$O$6,FALSE)</f>
        <v xml:space="preserve">Hauerbuckel </v>
      </c>
      <c r="F93" s="251"/>
      <c r="G93" s="251"/>
      <c r="H93" s="251"/>
      <c r="I93" s="251"/>
      <c r="J93" s="251"/>
      <c r="K93" s="257"/>
      <c r="L93" s="96" t="str">
        <f t="shared" si="5"/>
        <v/>
      </c>
      <c r="M93" s="102"/>
      <c r="O93" s="171"/>
      <c r="P93" s="191" t="str">
        <f>ROUNDUP($A93,0) &amp;" " &amp; Formeln!$A$111</f>
        <v>0 STK</v>
      </c>
      <c r="Q93" s="191" t="str">
        <f>ROUNDUP($A93,0) &amp;" " &amp; Formeln!$A$111</f>
        <v>0 STK</v>
      </c>
      <c r="R93" s="187"/>
      <c r="T93" s="46">
        <v>112401</v>
      </c>
      <c r="U93" s="46">
        <v>112402</v>
      </c>
      <c r="V93" s="46">
        <v>112403</v>
      </c>
      <c r="W93" s="46">
        <v>112404</v>
      </c>
      <c r="X93" s="46">
        <v>112405</v>
      </c>
      <c r="Y93" s="46">
        <v>112406</v>
      </c>
      <c r="Z93" s="46">
        <v>112407</v>
      </c>
      <c r="AA93" s="46">
        <v>112408</v>
      </c>
      <c r="AB93" s="46">
        <v>112409</v>
      </c>
      <c r="AC93" s="46">
        <v>112410</v>
      </c>
    </row>
    <row r="94" spans="1:39" ht="32.1" customHeight="1">
      <c r="A94" s="118"/>
      <c r="B94" s="96" t="s">
        <v>28</v>
      </c>
      <c r="C94" s="98"/>
      <c r="D94" s="95">
        <v>340404</v>
      </c>
      <c r="E94" s="250" t="str">
        <f>VLOOKUP("Dachleitungshalter für Blitzschutzdraht",Sprachindex!A:Z,Info!$O$6,FALSE)</f>
        <v>Dachleitungshalter für Blitzschutzdraht</v>
      </c>
      <c r="F94" s="251"/>
      <c r="G94" s="251"/>
      <c r="H94" s="251"/>
      <c r="I94" s="251"/>
      <c r="J94" s="251"/>
      <c r="K94" s="257"/>
      <c r="L94" s="96" t="str">
        <f t="shared" si="5"/>
        <v/>
      </c>
      <c r="M94" s="102"/>
      <c r="O94" s="171"/>
      <c r="P94" s="191" t="str">
        <f>ROUNDUP($A94/50,0)*50 &amp;" " &amp; Formeln!$A$111</f>
        <v>0 STK</v>
      </c>
      <c r="Q94" s="191" t="str">
        <f>ROUNDUP($A94,0) &amp;" " &amp; Formeln!$A$111</f>
        <v>0 STK</v>
      </c>
      <c r="R94" s="187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</row>
    <row r="95" spans="1:39" ht="32.1" customHeight="1">
      <c r="A95" s="126"/>
      <c r="B95" s="96" t="str">
        <f>VLOOKUP("Stk",Sprachindex!A:Z,Info!$O$6,FALSE)</f>
        <v>STK</v>
      </c>
      <c r="C95" s="95"/>
      <c r="D95" s="95">
        <v>420501</v>
      </c>
      <c r="E95" s="258" t="str">
        <f>VLOOKUP("Spezialkleber",Sprachindex!A:Z,Info!$O$6,FALSE)</f>
        <v>Spezialkleber</v>
      </c>
      <c r="F95" s="259"/>
      <c r="G95" s="259"/>
      <c r="H95" s="259"/>
      <c r="I95" s="259"/>
      <c r="J95" s="259"/>
      <c r="K95" s="260"/>
      <c r="L95" s="96" t="str">
        <f t="shared" si="5"/>
        <v/>
      </c>
      <c r="M95" s="102"/>
      <c r="O95" s="171"/>
      <c r="P95" s="191" t="str">
        <f>ROUNDUP($A95,0) &amp;" " &amp; Formeln!$A$111</f>
        <v>0 STK</v>
      </c>
      <c r="Q95" s="191" t="str">
        <f>ROUNDUP($A95,0) &amp;" " &amp; Formeln!$A$111</f>
        <v>0 STK</v>
      </c>
      <c r="R95" s="192"/>
    </row>
    <row r="96" spans="1:39" ht="32.1" customHeight="1">
      <c r="A96" s="118"/>
      <c r="B96" s="96" t="str">
        <f>VLOOKUP("Set",Sprachindex!A:Z,Info!$O$6,FALSE)</f>
        <v>Set</v>
      </c>
      <c r="C96" s="98"/>
      <c r="D96" s="95">
        <v>420500</v>
      </c>
      <c r="E96" s="250" t="str">
        <f>VLOOKUP("Spezialkleber-Set",Sprachindex!A:Z,Info!$O$6,FALSE)</f>
        <v>Spezialkleber-Set</v>
      </c>
      <c r="F96" s="251"/>
      <c r="G96" s="251"/>
      <c r="H96" s="251"/>
      <c r="I96" s="251"/>
      <c r="J96" s="251"/>
      <c r="K96" s="257"/>
      <c r="L96" s="96" t="str">
        <f t="shared" si="5"/>
        <v/>
      </c>
      <c r="M96" s="102"/>
      <c r="O96" s="171"/>
      <c r="P96" s="191" t="str">
        <f>ROUNDUP($A96,0) &amp;" " &amp; IF($A96&lt;=1,Formeln!$A$119,IF($A96&gt;1,Formeln!$A$120,""))</f>
        <v>0 Set</v>
      </c>
      <c r="Q96" s="191" t="str">
        <f>ROUNDUP($A96,0) &amp;" " &amp; IF($A96&lt;=1,Formeln!$A$119,IF($A96&gt;1,Formeln!$A$120,""))</f>
        <v>0 Set</v>
      </c>
      <c r="R96" s="187"/>
      <c r="T96" s="49" t="s">
        <v>29</v>
      </c>
      <c r="U96" s="49" t="s">
        <v>30</v>
      </c>
      <c r="V96" s="49" t="s">
        <v>31</v>
      </c>
      <c r="W96" s="49" t="s">
        <v>32</v>
      </c>
      <c r="X96" s="49" t="s">
        <v>33</v>
      </c>
      <c r="Y96" s="49" t="s">
        <v>34</v>
      </c>
      <c r="Z96" s="49" t="s">
        <v>35</v>
      </c>
      <c r="AA96" s="49" t="s">
        <v>36</v>
      </c>
      <c r="AB96" s="49" t="s">
        <v>37</v>
      </c>
      <c r="AC96" s="49" t="s">
        <v>38</v>
      </c>
      <c r="AD96" s="49" t="s">
        <v>29</v>
      </c>
      <c r="AE96" s="49" t="s">
        <v>30</v>
      </c>
      <c r="AF96" s="49" t="s">
        <v>31</v>
      </c>
      <c r="AG96" s="49" t="s">
        <v>32</v>
      </c>
      <c r="AH96" s="49" t="s">
        <v>33</v>
      </c>
      <c r="AI96" s="49" t="s">
        <v>34</v>
      </c>
      <c r="AJ96" s="49" t="s">
        <v>35</v>
      </c>
      <c r="AK96" s="49" t="s">
        <v>36</v>
      </c>
      <c r="AL96" s="49" t="s">
        <v>37</v>
      </c>
      <c r="AM96" s="49" t="s">
        <v>38</v>
      </c>
    </row>
    <row r="97" spans="1:39" ht="32.1" customHeight="1">
      <c r="A97" s="118"/>
      <c r="B97" s="96" t="str">
        <f>VLOOKUP("Stk",Sprachindex!A:Z,Info!$O$6,FALSE)</f>
        <v>STK</v>
      </c>
      <c r="C97" s="98"/>
      <c r="D97" s="95">
        <v>411687</v>
      </c>
      <c r="E97" s="250" t="str">
        <f>VLOOKUP("Rilleneisen, für Dachplatten",Sprachindex!A:Z,Info!$O$6,FALSE)</f>
        <v>Rilleneisen, für Dachplatten</v>
      </c>
      <c r="F97" s="251"/>
      <c r="G97" s="251"/>
      <c r="H97" s="251"/>
      <c r="I97" s="251"/>
      <c r="J97" s="251"/>
      <c r="K97" s="257"/>
      <c r="L97" s="96" t="str">
        <f t="shared" si="5"/>
        <v/>
      </c>
      <c r="M97" s="102"/>
      <c r="O97" s="171"/>
      <c r="P97" s="191" t="str">
        <f>ROUNDUP($A97,0) &amp;" " &amp; Formeln!$A$111</f>
        <v>0 STK</v>
      </c>
      <c r="Q97" s="191" t="str">
        <f>ROUNDUP($A97,0) &amp;" " &amp; Formeln!$A$111</f>
        <v>0 STK</v>
      </c>
      <c r="R97" s="187"/>
    </row>
    <row r="98" spans="1:39" ht="32.1" customHeight="1">
      <c r="A98" s="118"/>
      <c r="B98" s="96" t="str">
        <f>VLOOKUP("Stk",Sprachindex!A:Z,Info!$O$6,FALSE)</f>
        <v>STK</v>
      </c>
      <c r="C98" s="98"/>
      <c r="D98" s="95">
        <v>412229</v>
      </c>
      <c r="E98" s="250" t="str">
        <f>VLOOKUP("Abspanneisen, für Dachplatte",Sprachindex!A:Z,Info!$O$6,FALSE)</f>
        <v>Abspanneisen, für Dachplatte</v>
      </c>
      <c r="F98" s="251"/>
      <c r="G98" s="251"/>
      <c r="H98" s="251"/>
      <c r="I98" s="251"/>
      <c r="J98" s="251"/>
      <c r="K98" s="257"/>
      <c r="L98" s="96" t="str">
        <f t="shared" si="5"/>
        <v/>
      </c>
      <c r="M98" s="102"/>
      <c r="O98" s="171"/>
      <c r="P98" s="191" t="str">
        <f>ROUNDUP($A98,0) &amp;" " &amp; Formeln!$A$111</f>
        <v>0 STK</v>
      </c>
      <c r="Q98" s="191" t="str">
        <f>ROUNDUP($A98,0) &amp;" " &amp; Formeln!$A$111</f>
        <v>0 STK</v>
      </c>
      <c r="R98" s="187"/>
    </row>
    <row r="99" spans="1:39" ht="32.1" customHeight="1">
      <c r="A99" s="118"/>
      <c r="B99" s="96" t="str">
        <f>VLOOKUP("Stk",Sprachindex!A:Z,Info!$O$6,FALSE)</f>
        <v>STK</v>
      </c>
      <c r="C99" s="98"/>
      <c r="D99" s="95">
        <v>340415</v>
      </c>
      <c r="E99" s="250" t="str">
        <f>VLOOKUP("SDH Schraubensatz f.Aufsparrendäm.",Sprachindex!A:Z,Info!$O$6,FALSE)</f>
        <v>SDH Schraubensatz f.Aufsparrendäm.</v>
      </c>
      <c r="F99" s="251"/>
      <c r="G99" s="251"/>
      <c r="H99" s="251"/>
      <c r="I99" s="251"/>
      <c r="J99" s="251"/>
      <c r="K99" s="257"/>
      <c r="L99" s="96" t="str">
        <f>IF($A99=0,"",IF($N$11=1,P99,Q99))</f>
        <v/>
      </c>
      <c r="M99" s="102"/>
      <c r="O99" s="171"/>
      <c r="P99" s="191" t="str">
        <f>ROUNDUP($A99,0) &amp;" " &amp; Formeln!$A$111</f>
        <v>0 STK</v>
      </c>
      <c r="Q99" s="191" t="str">
        <f>ROUNDUP($A99,0) &amp;" " &amp; Formeln!$A$111</f>
        <v>0 STK</v>
      </c>
      <c r="R99" s="187"/>
    </row>
    <row r="100" spans="1:39" ht="32.1" customHeight="1">
      <c r="A100" s="118"/>
      <c r="B100" s="96" t="str">
        <f>VLOOKUP("Stk",Sprachindex!A:Z,Info!$O$6,FALSE)</f>
        <v>STK</v>
      </c>
      <c r="C100" s="98"/>
      <c r="D100" s="95">
        <v>340416</v>
      </c>
      <c r="E100" s="250" t="str">
        <f>VLOOKUP("SDH Bohrsatz,für Aufsparrendämmung",Sprachindex!A:Z,Info!$O$6,FALSE)</f>
        <v>SDH Bohrsatz,für Aufsparrendämmung</v>
      </c>
      <c r="F100" s="251"/>
      <c r="G100" s="251"/>
      <c r="H100" s="251"/>
      <c r="I100" s="251"/>
      <c r="J100" s="251"/>
      <c r="K100" s="257"/>
      <c r="L100" s="96" t="str">
        <f>IF($A100=0,"",IF($N$11=1,P100,Q100))</f>
        <v/>
      </c>
      <c r="M100" s="102"/>
      <c r="O100" s="171"/>
      <c r="P100" s="191" t="str">
        <f>ROUNDUP($A100,0) &amp;" " &amp; Formeln!$A$111</f>
        <v>0 STK</v>
      </c>
      <c r="Q100" s="191" t="str">
        <f>ROUNDUP($A100,0) &amp;" " &amp; Formeln!$A$111</f>
        <v>0 STK</v>
      </c>
      <c r="R100" s="187"/>
    </row>
    <row r="101" spans="1:39" ht="32.1" customHeight="1">
      <c r="A101" s="118"/>
      <c r="B101" s="96" t="str">
        <f>VLOOKUP("kg",Sprachindex!A:Z,Info!$O$6,FALSE)</f>
        <v>kg</v>
      </c>
      <c r="C101" s="98"/>
      <c r="D101" s="95">
        <f>IF(I101=Formeln!A104,X101,IF(I101=Formeln!A105,T101,IF(I101=Formeln!A106,U101,IF(I101=Formeln!A107,V101,IF(I101=Formeln!A108,W101,0)))))</f>
        <v>0</v>
      </c>
      <c r="E101" s="265" t="str">
        <f>VLOOKUP("Lochblech, 0,70x1000mm
in Rollen zu 24kg ",Sprachindex!A:Z,Info!$O$6,FALSE)</f>
        <v xml:space="preserve">Lochblech, 0,70x1000mm
in Rollen zu 24kg </v>
      </c>
      <c r="F101" s="266"/>
      <c r="G101" s="266"/>
      <c r="H101" s="266"/>
      <c r="I101" s="252"/>
      <c r="J101" s="267"/>
      <c r="K101" s="253"/>
      <c r="L101" s="183" t="str">
        <f>IF($A101=0,"",IF($I101=Formeln!$A$103," ",IF($N$11=1,P101,Q101)))</f>
        <v/>
      </c>
      <c r="M101" s="102"/>
      <c r="O101" s="171"/>
      <c r="P101" s="191" t="str">
        <f>ROUNDUP($A101/24,0)*24 &amp; " " &amp; Formeln!$A$114 &amp; "        " &amp; "(="&amp;ROUNDUP($A101/24,0) &amp; " " &amp;R101&amp; ")"</f>
        <v>0 kg        (=0 Rolle)</v>
      </c>
      <c r="Q101" s="191" t="str">
        <f>ROUNDUP($A101,0) &amp; " " &amp; Formeln!$A$114 &amp; "        " &amp; "(="&amp;ROUNDUP($A101/24,1) &amp; " " &amp;R101&amp; ")"</f>
        <v>0 kg        (=0 Rolle)</v>
      </c>
      <c r="R101" s="193" t="str">
        <f>IF(A101&gt;24, Formeln!$A$116, Formeln!$A$115)</f>
        <v>Rolle</v>
      </c>
      <c r="T101" s="46">
        <v>507202</v>
      </c>
      <c r="U101" s="46">
        <v>507203</v>
      </c>
      <c r="V101" s="46">
        <v>507204</v>
      </c>
      <c r="W101" s="46">
        <v>507205</v>
      </c>
      <c r="X101" s="46">
        <v>507206</v>
      </c>
    </row>
    <row r="102" spans="1:39" ht="50.1" customHeight="1">
      <c r="A102" s="118"/>
      <c r="B102" s="96" t="str">
        <f>VLOOKUP("kg",Sprachindex!A:Z,Info!$O$6,FALSE)</f>
        <v>kg</v>
      </c>
      <c r="C102" s="98"/>
      <c r="D102" s="100">
        <f>IF(AND(I102=Formeln!A21,K102=Formeln!A126),T102,IF(AND(I102=Formeln!A21,K102=Formeln!A129),U102,IF(AND(I102=Formeln!A21,K102=Formeln!A131),V102,IF(AND(I102=Formeln!A21,K102=Formeln!A129),AE102,IF(AND(I102=Formeln!A21,K102=Formeln!A125),W102,IF(AND(I102=Formeln!A21,K102=Formeln!A134),X102,IF(AND(I102=Formeln!A21,K102=Formeln!A128),Y102,IF(AND(I102=Formeln!A21,K102=Formeln!A132),Z102,IF(AND(I102=Formeln!A21,K102=Formeln!A130),AA102,IF(AND(I102=Formeln!A21,K102=Formeln!A127),AB102,IF(AND(I102=Formeln!A21,K102=Formeln!A133),AC102,IF(AND(I102=Formeln!A22,K102=Formeln!A126),AD102,IF(AND(I102=Formeln!A22,K102=Formeln!A129),AE102,IF(AND(I102=Formeln!A22,K102=Formeln!A131),AF102,IF(AND(I102=Formeln!A22,K102=Formeln!A129),AE102,IF(AND(I102=Formeln!A22,K102=Formeln!A125),AG102,IF(AND(I102=Formeln!A22,K102=Formeln!A134),AH102,IF(AND(I102=Formeln!A22,K102=Formeln!A128),AI102,IF(AND(I102=Formeln!A22,K102=Formeln!A132),AJ102,IF(AND(I102=Formeln!A22,K102=Formeln!A130),AK102,IF(AND(I102=Formeln!A22,K102=Formeln!A127),AL102,IF(AND(I102=Formeln!A22,K102=Formeln!A133),AM102,0))))))))))))))))))))))</f>
        <v>0</v>
      </c>
      <c r="E102" s="250" t="str">
        <f>VLOOKUP("PREFALZ 0.7x1000 stucco, in Rollen zu 60kg",Sprachindex!A:Z,Info!$O$6,FALSE)</f>
        <v>PREFALZ 0.7x1000 stucco, in Rollen zu 60kg</v>
      </c>
      <c r="F102" s="251"/>
      <c r="G102" s="251"/>
      <c r="H102" s="184" t="str">
        <f>VLOOKUP("Oberfläche:",Sprachindex!A:Z,Info!$O$6,FALSE)</f>
        <v>Oberfläche:</v>
      </c>
      <c r="I102" s="185"/>
      <c r="J102" s="186" t="str">
        <f>VLOOKUP("Farbe:",Sprachindex!A:Z,Info!$O$6,FALSE)</f>
        <v>Farbe:</v>
      </c>
      <c r="K102" s="185"/>
      <c r="L102" s="183" t="str">
        <f>IF($A102=0,"",IF(OR($I102=Formeln!$A$20,$K102=Formeln!$A$124)," ",IF($N$11=1,P102,Q102)))</f>
        <v/>
      </c>
      <c r="M102" s="102"/>
      <c r="O102" s="171"/>
      <c r="P102" s="208" t="str">
        <f>ROUNDUP($A102/60,0)*60 &amp; " " &amp; Formeln!$A$114 &amp; "        " &amp; "(="&amp;ROUNDUP($A102/60,0) &amp; " " &amp;R102&amp; ")"</f>
        <v>0 kg        (=0 Rolle)</v>
      </c>
      <c r="Q102" s="208" t="str">
        <f>ROUNDUP($A102,0) &amp; " " &amp; Formeln!$A$114 &amp; "        " &amp; "(="&amp;ROUNDUP($A102/60,1) &amp; " " &amp;R102&amp; ")"</f>
        <v>0 kg        (=0 Rolle)</v>
      </c>
      <c r="R102" s="193" t="str">
        <f>IF(A102&gt;60, Formeln!$A$116, Formeln!$A$115)</f>
        <v>Rolle</v>
      </c>
      <c r="T102" s="140" t="s">
        <v>51</v>
      </c>
      <c r="U102" s="140" t="s">
        <v>52</v>
      </c>
      <c r="V102" s="140" t="s">
        <v>53</v>
      </c>
      <c r="W102" s="140" t="s">
        <v>54</v>
      </c>
      <c r="X102" s="140" t="s">
        <v>55</v>
      </c>
      <c r="Y102" s="140" t="s">
        <v>56</v>
      </c>
      <c r="Z102" s="140" t="s">
        <v>57</v>
      </c>
      <c r="AA102" s="140" t="s">
        <v>58</v>
      </c>
      <c r="AB102" s="140" t="s">
        <v>59</v>
      </c>
      <c r="AC102" s="140" t="s">
        <v>60</v>
      </c>
      <c r="AD102" s="140" t="s">
        <v>61</v>
      </c>
      <c r="AE102" s="140" t="s">
        <v>62</v>
      </c>
      <c r="AF102" s="140" t="s">
        <v>63</v>
      </c>
      <c r="AG102" s="140" t="s">
        <v>64</v>
      </c>
      <c r="AH102" s="140" t="s">
        <v>65</v>
      </c>
      <c r="AI102" s="140" t="s">
        <v>66</v>
      </c>
      <c r="AJ102" s="140" t="s">
        <v>67</v>
      </c>
      <c r="AK102" s="140" t="s">
        <v>68</v>
      </c>
      <c r="AL102" s="140" t="s">
        <v>69</v>
      </c>
      <c r="AM102" s="140" t="s">
        <v>70</v>
      </c>
    </row>
    <row r="103" spans="1:39" ht="32.1" customHeight="1">
      <c r="A103" s="195"/>
      <c r="B103" s="196"/>
      <c r="C103" s="196"/>
      <c r="D103" s="196"/>
      <c r="E103" s="268"/>
      <c r="F103" s="269"/>
      <c r="G103" s="269"/>
      <c r="H103" s="269"/>
      <c r="I103" s="269"/>
      <c r="J103" s="269"/>
      <c r="K103" s="270"/>
      <c r="L103" s="126"/>
      <c r="M103" s="197"/>
      <c r="O103" s="171"/>
      <c r="P103" s="8"/>
      <c r="Q103" s="8"/>
    </row>
    <row r="104" spans="1:39" ht="32.1" customHeight="1">
      <c r="A104" s="195"/>
      <c r="B104" s="196"/>
      <c r="C104" s="196"/>
      <c r="D104" s="196"/>
      <c r="E104" s="268"/>
      <c r="F104" s="269"/>
      <c r="G104" s="269"/>
      <c r="H104" s="269"/>
      <c r="I104" s="269"/>
      <c r="J104" s="269"/>
      <c r="K104" s="270"/>
      <c r="L104" s="126"/>
      <c r="M104" s="197"/>
      <c r="O104" s="171"/>
      <c r="P104" s="8"/>
      <c r="Q104" s="8"/>
    </row>
    <row r="105" spans="1:39" ht="32.1" customHeight="1" thickBot="1">
      <c r="A105" s="198"/>
      <c r="B105" s="199"/>
      <c r="C105" s="199"/>
      <c r="D105" s="199"/>
      <c r="E105" s="271"/>
      <c r="F105" s="272"/>
      <c r="G105" s="272"/>
      <c r="H105" s="272"/>
      <c r="I105" s="272"/>
      <c r="J105" s="272"/>
      <c r="K105" s="273"/>
      <c r="L105" s="223"/>
      <c r="M105" s="200"/>
      <c r="O105" s="171"/>
      <c r="P105" s="8"/>
      <c r="Q105" s="8"/>
    </row>
    <row r="106" spans="1:39" ht="13.8"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</row>
    <row r="107" spans="1:39" ht="17.399999999999999">
      <c r="C107" s="108" t="str">
        <f>VLOOKUP("Zusatzvermerk:",Sprachindex!A:Z,Info!$O$6,FALSE)</f>
        <v>Zusatzvermerk:</v>
      </c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</row>
    <row r="108" spans="1:39" ht="13.8"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</row>
    <row r="109" spans="1:39" ht="13.8"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</row>
    <row r="110" spans="1:39" ht="13.8"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</row>
    <row r="111" spans="1:39" ht="13.8"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</row>
    <row r="112" spans="1:39" ht="13.8"/>
    <row r="113" spans="1:13" ht="13.8"/>
    <row r="114" spans="1:13" ht="17.399999999999999">
      <c r="A114" s="109" t="str">
        <f>VLOOKUP("Anwendungstechnik",Sprachindex!A:Z,Info!$O$6,FALSE)</f>
        <v>Anwendungstechnik</v>
      </c>
      <c r="B114" s="110"/>
      <c r="C114" s="110"/>
      <c r="D114" s="264"/>
      <c r="E114" s="264"/>
      <c r="F114" s="264"/>
      <c r="G114" s="264"/>
      <c r="H114" s="264"/>
      <c r="I114" s="264"/>
      <c r="J114" s="264"/>
      <c r="K114" s="111" t="str">
        <f>VLOOKUP("Stand:",Sprachindex!A:Z,Info!$O$6,FALSE)</f>
        <v>Stand:</v>
      </c>
      <c r="L114" s="277">
        <v>44546</v>
      </c>
      <c r="M114" s="278"/>
    </row>
    <row r="115" spans="1:13" ht="13.8"/>
    <row r="116" spans="1:13" ht="13.8" hidden="1"/>
    <row r="117" spans="1:13" ht="14.25" hidden="1" customHeight="1"/>
    <row r="118" spans="1:13" ht="14.25" hidden="1" customHeight="1"/>
  </sheetData>
  <sheetProtection password="8D71" sheet="1" objects="1" scenarios="1" selectLockedCells="1" autoFilter="0"/>
  <protectedRanges>
    <protectedRange password="DEBF" sqref="P31:P33" name="darf vom Benutzer nicht verändert werden_1_5_2"/>
    <protectedRange password="DEBF" sqref="Q32" name="darf vom Benutzer nicht verändert werden_1"/>
    <protectedRange password="DEBF" sqref="Q33 Q35:Q36" name="darf vom Benutzer nicht verändert werden_1_1"/>
    <protectedRange password="DEBF" sqref="P34:Q34 P35 Q37 Q39" name="darf vom Benutzer nicht verändert werden_1_2"/>
    <protectedRange password="DEBF" sqref="P36" name="darf vom Benutzer nicht verändert werden_1_4"/>
    <protectedRange password="DEBF" sqref="P37" name="darf vom Benutzer nicht verändert werden_1_5_2_5"/>
    <protectedRange password="DEBF" sqref="P39 P38:Q38 P40:Q105" name="darf vom Benutzer nicht verändert werden_1_5"/>
    <protectedRange password="DEBF" sqref="R101:R102" name="darf vom Benutzer nicht verändert werden_1_12"/>
  </protectedRanges>
  <autoFilter ref="A29:A105" xr:uid="{00000000-0009-0000-0000-000001000000}"/>
  <mergeCells count="114"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C25:E25"/>
    <mergeCell ref="C26:E26"/>
    <mergeCell ref="C27:E27"/>
    <mergeCell ref="I25:K25"/>
    <mergeCell ref="E44:K44"/>
    <mergeCell ref="E45:K45"/>
    <mergeCell ref="E46:K46"/>
    <mergeCell ref="E47:K47"/>
    <mergeCell ref="E49:G49"/>
    <mergeCell ref="H49:K49"/>
    <mergeCell ref="P29:Q29"/>
    <mergeCell ref="B24:B27"/>
    <mergeCell ref="E50:G50"/>
    <mergeCell ref="H50:K50"/>
    <mergeCell ref="E74:K74"/>
    <mergeCell ref="E66:K66"/>
    <mergeCell ref="E68:K68"/>
    <mergeCell ref="E60:K60"/>
    <mergeCell ref="E65:K65"/>
    <mergeCell ref="E73:K73"/>
    <mergeCell ref="I26:K26"/>
    <mergeCell ref="I24:K24"/>
    <mergeCell ref="E51:K51"/>
    <mergeCell ref="E52:K52"/>
    <mergeCell ref="E48:K48"/>
    <mergeCell ref="E42:K42"/>
    <mergeCell ref="E34:K34"/>
    <mergeCell ref="E35:K35"/>
    <mergeCell ref="E36:G36"/>
    <mergeCell ref="H36:K36"/>
    <mergeCell ref="E37:G37"/>
    <mergeCell ref="H37:K37"/>
    <mergeCell ref="E38:K38"/>
    <mergeCell ref="E39:G39"/>
    <mergeCell ref="H39:K39"/>
    <mergeCell ref="E40:K40"/>
    <mergeCell ref="E41:K41"/>
    <mergeCell ref="E43:K43"/>
    <mergeCell ref="D114:J114"/>
    <mergeCell ref="E100:K100"/>
    <mergeCell ref="E101:H101"/>
    <mergeCell ref="I101:K101"/>
    <mergeCell ref="E102:G102"/>
    <mergeCell ref="E103:K103"/>
    <mergeCell ref="E104:K104"/>
    <mergeCell ref="E105:K105"/>
    <mergeCell ref="D110:M111"/>
    <mergeCell ref="D108:M109"/>
    <mergeCell ref="D106:M107"/>
    <mergeCell ref="L114:M114"/>
    <mergeCell ref="J58:K58"/>
    <mergeCell ref="E54:K54"/>
    <mergeCell ref="E53:K53"/>
    <mergeCell ref="E99:K99"/>
    <mergeCell ref="E98:K98"/>
    <mergeCell ref="E55:K55"/>
    <mergeCell ref="E90:K90"/>
    <mergeCell ref="E91:K91"/>
    <mergeCell ref="E92:K92"/>
    <mergeCell ref="E94:K94"/>
    <mergeCell ref="E83:K83"/>
    <mergeCell ref="E56:H56"/>
    <mergeCell ref="J56:K56"/>
    <mergeCell ref="E75:K75"/>
    <mergeCell ref="E59:K59"/>
    <mergeCell ref="E61:K61"/>
    <mergeCell ref="E62:K62"/>
    <mergeCell ref="E63:K63"/>
    <mergeCell ref="E64:K64"/>
    <mergeCell ref="E67:K67"/>
    <mergeCell ref="E69:K69"/>
    <mergeCell ref="E70:K70"/>
    <mergeCell ref="E71:K71"/>
    <mergeCell ref="E72:K72"/>
    <mergeCell ref="E58:H58"/>
    <mergeCell ref="E57:H57"/>
    <mergeCell ref="J57:K57"/>
    <mergeCell ref="K6:M6"/>
    <mergeCell ref="K5:M5"/>
    <mergeCell ref="K4:M4"/>
    <mergeCell ref="E97:K97"/>
    <mergeCell ref="E93:K93"/>
    <mergeCell ref="E95:K95"/>
    <mergeCell ref="E85:K85"/>
    <mergeCell ref="E86:K86"/>
    <mergeCell ref="E87:K87"/>
    <mergeCell ref="E88:K88"/>
    <mergeCell ref="E89:K89"/>
    <mergeCell ref="E96:K96"/>
    <mergeCell ref="E84:K84"/>
    <mergeCell ref="E76:K76"/>
    <mergeCell ref="E77:K77"/>
    <mergeCell ref="E78:K78"/>
    <mergeCell ref="E79:K79"/>
    <mergeCell ref="E80:K80"/>
    <mergeCell ref="E81:K81"/>
    <mergeCell ref="E82:K82"/>
    <mergeCell ref="K7:M7"/>
  </mergeCells>
  <conditionalFormatting sqref="I21 I28">
    <cfRule type="expression" dxfId="2940" priority="479">
      <formula>$N$21=10</formula>
    </cfRule>
  </conditionalFormatting>
  <conditionalFormatting sqref="C9:E9">
    <cfRule type="cellIs" dxfId="2939" priority="463" operator="equal">
      <formula>""</formula>
    </cfRule>
  </conditionalFormatting>
  <conditionalFormatting sqref="C10:E10">
    <cfRule type="cellIs" dxfId="2938" priority="462" operator="equal">
      <formula>""</formula>
    </cfRule>
  </conditionalFormatting>
  <conditionalFormatting sqref="C11:E11">
    <cfRule type="cellIs" dxfId="2937" priority="461" operator="equal">
      <formula>""</formula>
    </cfRule>
  </conditionalFormatting>
  <conditionalFormatting sqref="C13:E13">
    <cfRule type="cellIs" dxfId="2936" priority="460" operator="equal">
      <formula>""</formula>
    </cfRule>
  </conditionalFormatting>
  <conditionalFormatting sqref="C14:E14">
    <cfRule type="cellIs" dxfId="2935" priority="459" operator="equal">
      <formula>""</formula>
    </cfRule>
  </conditionalFormatting>
  <conditionalFormatting sqref="C15:E15">
    <cfRule type="cellIs" dxfId="2934" priority="458" operator="equal">
      <formula>""</formula>
    </cfRule>
  </conditionalFormatting>
  <conditionalFormatting sqref="C18:E18">
    <cfRule type="cellIs" dxfId="2933" priority="457" operator="equal">
      <formula>""</formula>
    </cfRule>
  </conditionalFormatting>
  <conditionalFormatting sqref="C19:E19">
    <cfRule type="cellIs" dxfId="2932" priority="456" operator="equal">
      <formula>""</formula>
    </cfRule>
  </conditionalFormatting>
  <conditionalFormatting sqref="C20:E20">
    <cfRule type="cellIs" dxfId="2931" priority="455" operator="equal">
      <formula>""</formula>
    </cfRule>
  </conditionalFormatting>
  <conditionalFormatting sqref="C21:E21">
    <cfRule type="cellIs" dxfId="2930" priority="453" operator="equal">
      <formula>""</formula>
    </cfRule>
  </conditionalFormatting>
  <conditionalFormatting sqref="K4">
    <cfRule type="cellIs" dxfId="2929" priority="452" operator="equal">
      <formula>""</formula>
    </cfRule>
  </conditionalFormatting>
  <conditionalFormatting sqref="K5">
    <cfRule type="cellIs" dxfId="2928" priority="451" operator="equal">
      <formula>""</formula>
    </cfRule>
  </conditionalFormatting>
  <conditionalFormatting sqref="K6">
    <cfRule type="cellIs" dxfId="2927" priority="449" operator="equal">
      <formula>""</formula>
    </cfRule>
  </conditionalFormatting>
  <conditionalFormatting sqref="A31">
    <cfRule type="cellIs" dxfId="2926" priority="448" operator="equal">
      <formula>""</formula>
    </cfRule>
  </conditionalFormatting>
  <conditionalFormatting sqref="A32">
    <cfRule type="cellIs" dxfId="2925" priority="447" operator="equal">
      <formula>""</formula>
    </cfRule>
  </conditionalFormatting>
  <conditionalFormatting sqref="A33">
    <cfRule type="cellIs" dxfId="2924" priority="446" operator="equal">
      <formula>""</formula>
    </cfRule>
  </conditionalFormatting>
  <conditionalFormatting sqref="A34">
    <cfRule type="cellIs" dxfId="2923" priority="445" operator="equal">
      <formula>""</formula>
    </cfRule>
  </conditionalFormatting>
  <conditionalFormatting sqref="A35">
    <cfRule type="cellIs" dxfId="2922" priority="444" operator="equal">
      <formula>""</formula>
    </cfRule>
  </conditionalFormatting>
  <conditionalFormatting sqref="A36">
    <cfRule type="cellIs" dxfId="2921" priority="443" operator="equal">
      <formula>""</formula>
    </cfRule>
  </conditionalFormatting>
  <conditionalFormatting sqref="A37">
    <cfRule type="cellIs" dxfId="2920" priority="442" operator="equal">
      <formula>""</formula>
    </cfRule>
  </conditionalFormatting>
  <conditionalFormatting sqref="A38">
    <cfRule type="cellIs" dxfId="2919" priority="441" operator="equal">
      <formula>""</formula>
    </cfRule>
  </conditionalFormatting>
  <conditionalFormatting sqref="A39">
    <cfRule type="cellIs" dxfId="2918" priority="440" operator="equal">
      <formula>""</formula>
    </cfRule>
  </conditionalFormatting>
  <conditionalFormatting sqref="A40">
    <cfRule type="cellIs" dxfId="2917" priority="439" operator="equal">
      <formula>""</formula>
    </cfRule>
  </conditionalFormatting>
  <conditionalFormatting sqref="A44">
    <cfRule type="cellIs" dxfId="2916" priority="435" operator="equal">
      <formula>""</formula>
    </cfRule>
  </conditionalFormatting>
  <conditionalFormatting sqref="A42">
    <cfRule type="cellIs" dxfId="2915" priority="437" operator="equal">
      <formula>""</formula>
    </cfRule>
  </conditionalFormatting>
  <conditionalFormatting sqref="A43">
    <cfRule type="cellIs" dxfId="2914" priority="436" operator="equal">
      <formula>""</formula>
    </cfRule>
  </conditionalFormatting>
  <conditionalFormatting sqref="A47">
    <cfRule type="cellIs" dxfId="2913" priority="432" operator="equal">
      <formula>""</formula>
    </cfRule>
  </conditionalFormatting>
  <conditionalFormatting sqref="A49">
    <cfRule type="cellIs" dxfId="2912" priority="431" operator="equal">
      <formula>""</formula>
    </cfRule>
  </conditionalFormatting>
  <conditionalFormatting sqref="A50">
    <cfRule type="cellIs" dxfId="2911" priority="430" operator="equal">
      <formula>""</formula>
    </cfRule>
  </conditionalFormatting>
  <conditionalFormatting sqref="A51">
    <cfRule type="cellIs" dxfId="2910" priority="429" operator="equal">
      <formula>""</formula>
    </cfRule>
  </conditionalFormatting>
  <conditionalFormatting sqref="A52">
    <cfRule type="cellIs" dxfId="2909" priority="428" operator="equal">
      <formula>""</formula>
    </cfRule>
  </conditionalFormatting>
  <conditionalFormatting sqref="A55">
    <cfRule type="cellIs" dxfId="2908" priority="427" operator="equal">
      <formula>""</formula>
    </cfRule>
  </conditionalFormatting>
  <conditionalFormatting sqref="A56">
    <cfRule type="cellIs" dxfId="2907" priority="425" operator="equal">
      <formula>""</formula>
    </cfRule>
  </conditionalFormatting>
  <conditionalFormatting sqref="A57">
    <cfRule type="cellIs" dxfId="2906" priority="423" operator="equal">
      <formula>""</formula>
    </cfRule>
  </conditionalFormatting>
  <conditionalFormatting sqref="A59">
    <cfRule type="cellIs" dxfId="2905" priority="422" operator="equal">
      <formula>""</formula>
    </cfRule>
  </conditionalFormatting>
  <conditionalFormatting sqref="A61">
    <cfRule type="cellIs" dxfId="2904" priority="421" operator="equal">
      <formula>""</formula>
    </cfRule>
  </conditionalFormatting>
  <conditionalFormatting sqref="A62">
    <cfRule type="cellIs" dxfId="2903" priority="420" operator="equal">
      <formula>""</formula>
    </cfRule>
  </conditionalFormatting>
  <conditionalFormatting sqref="A63">
    <cfRule type="cellIs" dxfId="2902" priority="419" operator="equal">
      <formula>""</formula>
    </cfRule>
  </conditionalFormatting>
  <conditionalFormatting sqref="A64">
    <cfRule type="cellIs" dxfId="2901" priority="418" operator="equal">
      <formula>""</formula>
    </cfRule>
  </conditionalFormatting>
  <conditionalFormatting sqref="A67">
    <cfRule type="cellIs" dxfId="2900" priority="417" operator="equal">
      <formula>""</formula>
    </cfRule>
  </conditionalFormatting>
  <conditionalFormatting sqref="A69">
    <cfRule type="cellIs" dxfId="2899" priority="416" operator="equal">
      <formula>""</formula>
    </cfRule>
  </conditionalFormatting>
  <conditionalFormatting sqref="A70">
    <cfRule type="cellIs" dxfId="2898" priority="415" operator="equal">
      <formula>""</formula>
    </cfRule>
  </conditionalFormatting>
  <conditionalFormatting sqref="A71">
    <cfRule type="cellIs" dxfId="2897" priority="414" operator="equal">
      <formula>""</formula>
    </cfRule>
  </conditionalFormatting>
  <conditionalFormatting sqref="A72">
    <cfRule type="cellIs" dxfId="2896" priority="413" operator="equal">
      <formula>""</formula>
    </cfRule>
  </conditionalFormatting>
  <conditionalFormatting sqref="A74">
    <cfRule type="cellIs" dxfId="2895" priority="412" operator="equal">
      <formula>""</formula>
    </cfRule>
  </conditionalFormatting>
  <conditionalFormatting sqref="A75">
    <cfRule type="cellIs" dxfId="2894" priority="411" operator="equal">
      <formula>""</formula>
    </cfRule>
  </conditionalFormatting>
  <conditionalFormatting sqref="A76">
    <cfRule type="cellIs" dxfId="2893" priority="410" operator="equal">
      <formula>""</formula>
    </cfRule>
  </conditionalFormatting>
  <conditionalFormatting sqref="A77">
    <cfRule type="cellIs" dxfId="2892" priority="409" operator="equal">
      <formula>""</formula>
    </cfRule>
  </conditionalFormatting>
  <conditionalFormatting sqref="A78">
    <cfRule type="cellIs" dxfId="2891" priority="408" operator="equal">
      <formula>""</formula>
    </cfRule>
  </conditionalFormatting>
  <conditionalFormatting sqref="A79">
    <cfRule type="cellIs" dxfId="2890" priority="407" operator="equal">
      <formula>""</formula>
    </cfRule>
  </conditionalFormatting>
  <conditionalFormatting sqref="A80">
    <cfRule type="cellIs" dxfId="2889" priority="406" operator="equal">
      <formula>""</formula>
    </cfRule>
  </conditionalFormatting>
  <conditionalFormatting sqref="A81">
    <cfRule type="cellIs" dxfId="2888" priority="402" operator="equal">
      <formula>""</formula>
    </cfRule>
  </conditionalFormatting>
  <conditionalFormatting sqref="A82">
    <cfRule type="cellIs" dxfId="2887" priority="400" operator="equal">
      <formula>""</formula>
    </cfRule>
  </conditionalFormatting>
  <conditionalFormatting sqref="A83">
    <cfRule type="cellIs" dxfId="2886" priority="399" operator="equal">
      <formula>""</formula>
    </cfRule>
  </conditionalFormatting>
  <conditionalFormatting sqref="A84">
    <cfRule type="cellIs" dxfId="2885" priority="398" operator="equal">
      <formula>""</formula>
    </cfRule>
  </conditionalFormatting>
  <conditionalFormatting sqref="A85">
    <cfRule type="cellIs" dxfId="2884" priority="397" operator="equal">
      <formula>""</formula>
    </cfRule>
  </conditionalFormatting>
  <conditionalFormatting sqref="A86">
    <cfRule type="cellIs" dxfId="2883" priority="396" operator="equal">
      <formula>""</formula>
    </cfRule>
  </conditionalFormatting>
  <conditionalFormatting sqref="A87">
    <cfRule type="cellIs" dxfId="2882" priority="395" operator="equal">
      <formula>""</formula>
    </cfRule>
  </conditionalFormatting>
  <conditionalFormatting sqref="A88">
    <cfRule type="cellIs" dxfId="2881" priority="394" operator="equal">
      <formula>""</formula>
    </cfRule>
  </conditionalFormatting>
  <conditionalFormatting sqref="A89">
    <cfRule type="cellIs" dxfId="2880" priority="393" operator="equal">
      <formula>""</formula>
    </cfRule>
  </conditionalFormatting>
  <conditionalFormatting sqref="A90">
    <cfRule type="cellIs" dxfId="2879" priority="392" operator="equal">
      <formula>""</formula>
    </cfRule>
  </conditionalFormatting>
  <conditionalFormatting sqref="A91">
    <cfRule type="cellIs" dxfId="2878" priority="391" operator="equal">
      <formula>""</formula>
    </cfRule>
  </conditionalFormatting>
  <conditionalFormatting sqref="A92">
    <cfRule type="cellIs" dxfId="2877" priority="390" operator="equal">
      <formula>""</formula>
    </cfRule>
  </conditionalFormatting>
  <conditionalFormatting sqref="A93:A94">
    <cfRule type="cellIs" dxfId="2876" priority="389" operator="equal">
      <formula>""</formula>
    </cfRule>
  </conditionalFormatting>
  <conditionalFormatting sqref="A95">
    <cfRule type="cellIs" dxfId="2875" priority="388" operator="equal">
      <formula>""</formula>
    </cfRule>
  </conditionalFormatting>
  <conditionalFormatting sqref="A96">
    <cfRule type="cellIs" dxfId="2874" priority="387" operator="equal">
      <formula>""</formula>
    </cfRule>
  </conditionalFormatting>
  <conditionalFormatting sqref="A97">
    <cfRule type="cellIs" dxfId="2873" priority="386" operator="equal">
      <formula>""</formula>
    </cfRule>
  </conditionalFormatting>
  <conditionalFormatting sqref="A100">
    <cfRule type="cellIs" dxfId="2872" priority="385" operator="equal">
      <formula>""</formula>
    </cfRule>
  </conditionalFormatting>
  <conditionalFormatting sqref="A101">
    <cfRule type="cellIs" dxfId="2871" priority="384" operator="equal">
      <formula>""</formula>
    </cfRule>
  </conditionalFormatting>
  <conditionalFormatting sqref="A102">
    <cfRule type="cellIs" dxfId="2870" priority="383" operator="equal">
      <formula>""</formula>
    </cfRule>
  </conditionalFormatting>
  <conditionalFormatting sqref="A103">
    <cfRule type="cellIs" dxfId="2869" priority="381" operator="equal">
      <formula>""</formula>
    </cfRule>
  </conditionalFormatting>
  <conditionalFormatting sqref="A104">
    <cfRule type="cellIs" dxfId="2868" priority="380" operator="equal">
      <formula>""</formula>
    </cfRule>
  </conditionalFormatting>
  <conditionalFormatting sqref="A105">
    <cfRule type="cellIs" dxfId="2867" priority="379" operator="equal">
      <formula>""</formula>
    </cfRule>
  </conditionalFormatting>
  <conditionalFormatting sqref="B103">
    <cfRule type="cellIs" dxfId="2866" priority="378" operator="equal">
      <formula>""</formula>
    </cfRule>
  </conditionalFormatting>
  <conditionalFormatting sqref="B104">
    <cfRule type="cellIs" dxfId="2865" priority="377" operator="equal">
      <formula>""</formula>
    </cfRule>
  </conditionalFormatting>
  <conditionalFormatting sqref="B105">
    <cfRule type="cellIs" dxfId="2864" priority="376" operator="equal">
      <formula>""</formula>
    </cfRule>
  </conditionalFormatting>
  <conditionalFormatting sqref="C103">
    <cfRule type="cellIs" dxfId="2863" priority="375" operator="equal">
      <formula>""</formula>
    </cfRule>
  </conditionalFormatting>
  <conditionalFormatting sqref="C104">
    <cfRule type="cellIs" dxfId="2862" priority="374" operator="equal">
      <formula>""</formula>
    </cfRule>
  </conditionalFormatting>
  <conditionalFormatting sqref="C105">
    <cfRule type="cellIs" dxfId="2861" priority="373" operator="equal">
      <formula>""</formula>
    </cfRule>
  </conditionalFormatting>
  <conditionalFormatting sqref="E103">
    <cfRule type="cellIs" dxfId="2860" priority="372" operator="equal">
      <formula>""</formula>
    </cfRule>
  </conditionalFormatting>
  <conditionalFormatting sqref="E104">
    <cfRule type="cellIs" dxfId="2859" priority="371" operator="equal">
      <formula>""</formula>
    </cfRule>
  </conditionalFormatting>
  <conditionalFormatting sqref="E105">
    <cfRule type="cellIs" dxfId="2858" priority="370" operator="equal">
      <formula>""</formula>
    </cfRule>
  </conditionalFormatting>
  <conditionalFormatting sqref="L103">
    <cfRule type="cellIs" dxfId="2857" priority="369" operator="equal">
      <formula>""</formula>
    </cfRule>
  </conditionalFormatting>
  <conditionalFormatting sqref="L105">
    <cfRule type="cellIs" dxfId="2856" priority="368" operator="equal">
      <formula>""</formula>
    </cfRule>
  </conditionalFormatting>
  <conditionalFormatting sqref="M103">
    <cfRule type="cellIs" dxfId="2855" priority="366" operator="equal">
      <formula>""</formula>
    </cfRule>
  </conditionalFormatting>
  <conditionalFormatting sqref="M104">
    <cfRule type="cellIs" dxfId="2854" priority="365" operator="equal">
      <formula>""</formula>
    </cfRule>
  </conditionalFormatting>
  <conditionalFormatting sqref="M105">
    <cfRule type="cellIs" dxfId="2853" priority="363" operator="equal">
      <formula>""</formula>
    </cfRule>
  </conditionalFormatting>
  <conditionalFormatting sqref="H37:K37">
    <cfRule type="cellIs" dxfId="2852" priority="347" operator="equal">
      <formula>""</formula>
    </cfRule>
  </conditionalFormatting>
  <conditionalFormatting sqref="D105">
    <cfRule type="cellIs" dxfId="2851" priority="316" operator="equal">
      <formula>""</formula>
    </cfRule>
  </conditionalFormatting>
  <conditionalFormatting sqref="D103">
    <cfRule type="cellIs" dxfId="2850" priority="318" operator="equal">
      <formula>""</formula>
    </cfRule>
  </conditionalFormatting>
  <conditionalFormatting sqref="D104">
    <cfRule type="cellIs" dxfId="2849" priority="317" operator="equal">
      <formula>""</formula>
    </cfRule>
  </conditionalFormatting>
  <conditionalFormatting sqref="T31:AB31">
    <cfRule type="duplicateValues" dxfId="2848" priority="315"/>
  </conditionalFormatting>
  <conditionalFormatting sqref="AD31:AL31">
    <cfRule type="duplicateValues" dxfId="2847" priority="314"/>
  </conditionalFormatting>
  <conditionalFormatting sqref="AM31">
    <cfRule type="duplicateValues" dxfId="2846" priority="313"/>
  </conditionalFormatting>
  <conditionalFormatting sqref="AC31">
    <cfRule type="duplicateValues" dxfId="2845" priority="312"/>
  </conditionalFormatting>
  <conditionalFormatting sqref="Y38:AC38 T38:W38">
    <cfRule type="duplicateValues" dxfId="2844" priority="311"/>
  </conditionalFormatting>
  <conditionalFormatting sqref="T41:AB41 AD41:AL41">
    <cfRule type="duplicateValues" dxfId="2843" priority="532"/>
  </conditionalFormatting>
  <conditionalFormatting sqref="AC41">
    <cfRule type="duplicateValues" dxfId="2842" priority="309"/>
  </conditionalFormatting>
  <conditionalFormatting sqref="AD42:AL42 T42:AB42">
    <cfRule type="duplicateValues" dxfId="2841" priority="533"/>
  </conditionalFormatting>
  <conditionalFormatting sqref="T43:AL43">
    <cfRule type="duplicateValues" dxfId="2840" priority="534"/>
  </conditionalFormatting>
  <conditionalFormatting sqref="T44:AM44">
    <cfRule type="duplicateValues" dxfId="2839" priority="535"/>
  </conditionalFormatting>
  <conditionalFormatting sqref="AD46:AM46">
    <cfRule type="duplicateValues" dxfId="2838" priority="300"/>
  </conditionalFormatting>
  <conditionalFormatting sqref="T46:AC46">
    <cfRule type="duplicateValues" dxfId="2837" priority="537"/>
  </conditionalFormatting>
  <conditionalFormatting sqref="AD47:AL47">
    <cfRule type="duplicateValues" dxfId="2836" priority="298"/>
  </conditionalFormatting>
  <conditionalFormatting sqref="AC47">
    <cfRule type="duplicateValues" dxfId="2835" priority="297"/>
  </conditionalFormatting>
  <conditionalFormatting sqref="AM47">
    <cfRule type="duplicateValues" dxfId="2834" priority="296"/>
  </conditionalFormatting>
  <conditionalFormatting sqref="T47:AB47">
    <cfRule type="duplicateValues" dxfId="2833" priority="538"/>
  </conditionalFormatting>
  <conditionalFormatting sqref="T49">
    <cfRule type="duplicateValues" dxfId="2832" priority="293"/>
  </conditionalFormatting>
  <conditionalFormatting sqref="Y49">
    <cfRule type="duplicateValues" dxfId="2831" priority="292"/>
  </conditionalFormatting>
  <conditionalFormatting sqref="V49">
    <cfRule type="duplicateValues" dxfId="2830" priority="291"/>
  </conditionalFormatting>
  <conditionalFormatting sqref="U49">
    <cfRule type="duplicateValues" dxfId="2829" priority="290"/>
  </conditionalFormatting>
  <conditionalFormatting sqref="AA49">
    <cfRule type="duplicateValues" dxfId="2828" priority="289"/>
  </conditionalFormatting>
  <conditionalFormatting sqref="Z49">
    <cfRule type="duplicateValues" dxfId="2827" priority="288"/>
  </conditionalFormatting>
  <conditionalFormatting sqref="W49">
    <cfRule type="duplicateValues" dxfId="2826" priority="287"/>
  </conditionalFormatting>
  <conditionalFormatting sqref="T50">
    <cfRule type="duplicateValues" dxfId="2825" priority="282"/>
  </conditionalFormatting>
  <conditionalFormatting sqref="W50">
    <cfRule type="duplicateValues" dxfId="2824" priority="281"/>
  </conditionalFormatting>
  <conditionalFormatting sqref="V50">
    <cfRule type="duplicateValues" dxfId="2823" priority="280"/>
  </conditionalFormatting>
  <conditionalFormatting sqref="U50">
    <cfRule type="duplicateValues" dxfId="2822" priority="279"/>
  </conditionalFormatting>
  <conditionalFormatting sqref="Y50">
    <cfRule type="duplicateValues" dxfId="2821" priority="278"/>
  </conditionalFormatting>
  <conditionalFormatting sqref="AA50">
    <cfRule type="duplicateValues" dxfId="2820" priority="277"/>
  </conditionalFormatting>
  <conditionalFormatting sqref="Z50">
    <cfRule type="duplicateValues" dxfId="2819" priority="276"/>
  </conditionalFormatting>
  <conditionalFormatting sqref="AC52">
    <cfRule type="duplicateValues" dxfId="2818" priority="268"/>
  </conditionalFormatting>
  <conditionalFormatting sqref="AD52:AL52">
    <cfRule type="duplicateValues" dxfId="2817" priority="267"/>
  </conditionalFormatting>
  <conditionalFormatting sqref="T52:AB52">
    <cfRule type="duplicateValues" dxfId="2816" priority="269"/>
  </conditionalFormatting>
  <conditionalFormatting sqref="T51">
    <cfRule type="duplicateValues" dxfId="2815" priority="264"/>
  </conditionalFormatting>
  <conditionalFormatting sqref="U51">
    <cfRule type="duplicateValues" dxfId="2814" priority="263"/>
  </conditionalFormatting>
  <conditionalFormatting sqref="V51">
    <cfRule type="duplicateValues" dxfId="2813" priority="262"/>
  </conditionalFormatting>
  <conditionalFormatting sqref="W51">
    <cfRule type="duplicateValues" dxfId="2812" priority="261"/>
  </conditionalFormatting>
  <conditionalFormatting sqref="X51">
    <cfRule type="duplicateValues" dxfId="2811" priority="260"/>
  </conditionalFormatting>
  <conditionalFormatting sqref="Y51">
    <cfRule type="duplicateValues" dxfId="2810" priority="259"/>
  </conditionalFormatting>
  <conditionalFormatting sqref="Z51">
    <cfRule type="duplicateValues" dxfId="2809" priority="258"/>
  </conditionalFormatting>
  <conditionalFormatting sqref="AA51">
    <cfRule type="duplicateValues" dxfId="2808" priority="257"/>
  </conditionalFormatting>
  <conditionalFormatting sqref="AB51">
    <cfRule type="duplicateValues" dxfId="2807" priority="256"/>
  </conditionalFormatting>
  <conditionalFormatting sqref="AD56:AM56">
    <cfRule type="duplicateValues" dxfId="2806" priority="253"/>
  </conditionalFormatting>
  <conditionalFormatting sqref="T56:AB56">
    <cfRule type="duplicateValues" dxfId="2805" priority="539"/>
  </conditionalFormatting>
  <conditionalFormatting sqref="AY56:BG56">
    <cfRule type="duplicateValues" dxfId="2804" priority="250"/>
  </conditionalFormatting>
  <conditionalFormatting sqref="AO56:AW56">
    <cfRule type="duplicateValues" dxfId="2803" priority="251"/>
  </conditionalFormatting>
  <conditionalFormatting sqref="BT56:CC56">
    <cfRule type="duplicateValues" dxfId="2802" priority="248"/>
  </conditionalFormatting>
  <conditionalFormatting sqref="BK56:BR56">
    <cfRule type="duplicateValues" dxfId="2801" priority="249"/>
  </conditionalFormatting>
  <conditionalFormatting sqref="CF56:CM56">
    <cfRule type="duplicateValues" dxfId="2800" priority="540"/>
  </conditionalFormatting>
  <conditionalFormatting sqref="CO56:CW56">
    <cfRule type="duplicateValues" dxfId="2799" priority="541"/>
  </conditionalFormatting>
  <conditionalFormatting sqref="DA56:DH56">
    <cfRule type="duplicateValues" dxfId="2798" priority="244"/>
  </conditionalFormatting>
  <conditionalFormatting sqref="DJ56:DR56">
    <cfRule type="duplicateValues" dxfId="2797" priority="245"/>
  </conditionalFormatting>
  <conditionalFormatting sqref="DV56:EC56">
    <cfRule type="duplicateValues" dxfId="2796" priority="243"/>
  </conditionalFormatting>
  <conditionalFormatting sqref="EQ56:EX56">
    <cfRule type="duplicateValues" dxfId="2795" priority="241"/>
  </conditionalFormatting>
  <conditionalFormatting sqref="EZ56:FH56">
    <cfRule type="duplicateValues" dxfId="2794" priority="240"/>
  </conditionalFormatting>
  <conditionalFormatting sqref="FL56:FS56">
    <cfRule type="duplicateValues" dxfId="2793" priority="239"/>
  </conditionalFormatting>
  <conditionalFormatting sqref="FU56:GC56">
    <cfRule type="duplicateValues" dxfId="2792" priority="238"/>
  </conditionalFormatting>
  <conditionalFormatting sqref="GG56:GN56">
    <cfRule type="duplicateValues" dxfId="2791" priority="237"/>
  </conditionalFormatting>
  <conditionalFormatting sqref="GP56:GX56">
    <cfRule type="duplicateValues" dxfId="2790" priority="236"/>
  </conditionalFormatting>
  <conditionalFormatting sqref="HB56:HI56">
    <cfRule type="duplicateValues" dxfId="2789" priority="235"/>
  </conditionalFormatting>
  <conditionalFormatting sqref="HK56:HS56">
    <cfRule type="duplicateValues" dxfId="2788" priority="234"/>
  </conditionalFormatting>
  <conditionalFormatting sqref="HW56:ID56">
    <cfRule type="duplicateValues" dxfId="2787" priority="233"/>
  </conditionalFormatting>
  <conditionalFormatting sqref="IF56:IN56">
    <cfRule type="duplicateValues" dxfId="2786" priority="232"/>
  </conditionalFormatting>
  <conditionalFormatting sqref="IR56:IY56">
    <cfRule type="duplicateValues" dxfId="2785" priority="231"/>
  </conditionalFormatting>
  <conditionalFormatting sqref="JA56:JI56">
    <cfRule type="duplicateValues" dxfId="2784" priority="230"/>
  </conditionalFormatting>
  <conditionalFormatting sqref="JM56:JT56">
    <cfRule type="duplicateValues" dxfId="2783" priority="229"/>
  </conditionalFormatting>
  <conditionalFormatting sqref="JV56:KD56">
    <cfRule type="duplicateValues" dxfId="2782" priority="228"/>
  </conditionalFormatting>
  <conditionalFormatting sqref="KH56:KO56">
    <cfRule type="duplicateValues" dxfId="2781" priority="227"/>
  </conditionalFormatting>
  <conditionalFormatting sqref="KQ56:KY56">
    <cfRule type="duplicateValues" dxfId="2780" priority="226"/>
  </conditionalFormatting>
  <conditionalFormatting sqref="LL56:LT56">
    <cfRule type="duplicateValues" dxfId="2779" priority="225"/>
  </conditionalFormatting>
  <conditionalFormatting sqref="LC56:LJ56">
    <cfRule type="duplicateValues" dxfId="2778" priority="224"/>
  </conditionalFormatting>
  <conditionalFormatting sqref="LX56:ME56">
    <cfRule type="duplicateValues" dxfId="2777" priority="223"/>
  </conditionalFormatting>
  <conditionalFormatting sqref="MG56:MO56">
    <cfRule type="duplicateValues" dxfId="2776" priority="222"/>
  </conditionalFormatting>
  <conditionalFormatting sqref="MS56:MZ56">
    <cfRule type="duplicateValues" dxfId="2775" priority="221"/>
  </conditionalFormatting>
  <conditionalFormatting sqref="NB56:NJ56">
    <cfRule type="duplicateValues" dxfId="2774" priority="220"/>
  </conditionalFormatting>
  <conditionalFormatting sqref="NN56:NU56">
    <cfRule type="duplicateValues" dxfId="2773" priority="219"/>
  </conditionalFormatting>
  <conditionalFormatting sqref="NW56:OE56">
    <cfRule type="duplicateValues" dxfId="2772" priority="218"/>
  </conditionalFormatting>
  <conditionalFormatting sqref="OI56:OP56">
    <cfRule type="duplicateValues" dxfId="2771" priority="217"/>
  </conditionalFormatting>
  <conditionalFormatting sqref="OR56:OZ56">
    <cfRule type="duplicateValues" dxfId="2770" priority="216"/>
  </conditionalFormatting>
  <conditionalFormatting sqref="PD56:PK56">
    <cfRule type="duplicateValues" dxfId="2769" priority="215"/>
  </conditionalFormatting>
  <conditionalFormatting sqref="PM56:PU56">
    <cfRule type="duplicateValues" dxfId="2768" priority="214"/>
  </conditionalFormatting>
  <conditionalFormatting sqref="PY56:QF56">
    <cfRule type="duplicateValues" dxfId="2767" priority="213"/>
  </conditionalFormatting>
  <conditionalFormatting sqref="QH56:QQ56">
    <cfRule type="duplicateValues" dxfId="2766" priority="212"/>
  </conditionalFormatting>
  <conditionalFormatting sqref="T57:AB57 AD57:AL57">
    <cfRule type="duplicateValues" dxfId="2765" priority="211"/>
  </conditionalFormatting>
  <conditionalFormatting sqref="BJ56">
    <cfRule type="duplicateValues" dxfId="2764" priority="210"/>
  </conditionalFormatting>
  <conditionalFormatting sqref="CE56">
    <cfRule type="duplicateValues" dxfId="2763" priority="209"/>
  </conditionalFormatting>
  <conditionalFormatting sqref="CZ56">
    <cfRule type="duplicateValues" dxfId="2762" priority="208"/>
  </conditionalFormatting>
  <conditionalFormatting sqref="DU56">
    <cfRule type="duplicateValues" dxfId="2761" priority="207"/>
  </conditionalFormatting>
  <conditionalFormatting sqref="EP56">
    <cfRule type="duplicateValues" dxfId="2760" priority="206"/>
  </conditionalFormatting>
  <conditionalFormatting sqref="FK56">
    <cfRule type="duplicateValues" dxfId="2759" priority="205"/>
  </conditionalFormatting>
  <conditionalFormatting sqref="GF56">
    <cfRule type="duplicateValues" dxfId="2758" priority="204"/>
  </conditionalFormatting>
  <conditionalFormatting sqref="HA56">
    <cfRule type="duplicateValues" dxfId="2757" priority="203"/>
  </conditionalFormatting>
  <conditionalFormatting sqref="HV56">
    <cfRule type="duplicateValues" dxfId="2756" priority="202"/>
  </conditionalFormatting>
  <conditionalFormatting sqref="IQ56">
    <cfRule type="duplicateValues" dxfId="2755" priority="201"/>
  </conditionalFormatting>
  <conditionalFormatting sqref="JL56">
    <cfRule type="duplicateValues" dxfId="2754" priority="200"/>
  </conditionalFormatting>
  <conditionalFormatting sqref="KG56">
    <cfRule type="duplicateValues" dxfId="2753" priority="199"/>
  </conditionalFormatting>
  <conditionalFormatting sqref="LB56">
    <cfRule type="duplicateValues" dxfId="2752" priority="198"/>
  </conditionalFormatting>
  <conditionalFormatting sqref="LW56">
    <cfRule type="duplicateValues" dxfId="2751" priority="197"/>
  </conditionalFormatting>
  <conditionalFormatting sqref="MR56">
    <cfRule type="duplicateValues" dxfId="2750" priority="196"/>
  </conditionalFormatting>
  <conditionalFormatting sqref="NM56">
    <cfRule type="duplicateValues" dxfId="2749" priority="195"/>
  </conditionalFormatting>
  <conditionalFormatting sqref="OH56">
    <cfRule type="duplicateValues" dxfId="2748" priority="194"/>
  </conditionalFormatting>
  <conditionalFormatting sqref="PC56">
    <cfRule type="duplicateValues" dxfId="2747" priority="193"/>
  </conditionalFormatting>
  <conditionalFormatting sqref="PX56">
    <cfRule type="duplicateValues" dxfId="2746" priority="192"/>
  </conditionalFormatting>
  <conditionalFormatting sqref="AM52">
    <cfRule type="duplicateValues" dxfId="2745" priority="191"/>
  </conditionalFormatting>
  <conditionalFormatting sqref="AO57:AW57 AY57:BG57">
    <cfRule type="duplicateValues" dxfId="2744" priority="190"/>
  </conditionalFormatting>
  <conditionalFormatting sqref="BJ57:BR57 BT57:CB57">
    <cfRule type="duplicateValues" dxfId="2743" priority="189"/>
  </conditionalFormatting>
  <conditionalFormatting sqref="CE57:CM57 DJ57:DR57">
    <cfRule type="duplicateValues" dxfId="2742" priority="188"/>
  </conditionalFormatting>
  <conditionalFormatting sqref="DU57:EC57 EE57:EM57">
    <cfRule type="duplicateValues" dxfId="2741" priority="187"/>
  </conditionalFormatting>
  <conditionalFormatting sqref="EP57:EX57 EZ57:FH57">
    <cfRule type="duplicateValues" dxfId="2740" priority="186"/>
  </conditionalFormatting>
  <conditionalFormatting sqref="FK57:FS57 FU57:GC57">
    <cfRule type="duplicateValues" dxfId="2739" priority="185"/>
  </conditionalFormatting>
  <conditionalFormatting sqref="T59:AC59">
    <cfRule type="duplicateValues" dxfId="2738" priority="184"/>
  </conditionalFormatting>
  <conditionalFormatting sqref="T61:AC61">
    <cfRule type="duplicateValues" dxfId="2737" priority="183"/>
  </conditionalFormatting>
  <conditionalFormatting sqref="T62:AC62 AC62:AC65">
    <cfRule type="duplicateValues" dxfId="2736" priority="182"/>
  </conditionalFormatting>
  <conditionalFormatting sqref="T63:AB63">
    <cfRule type="duplicateValues" dxfId="2735" priority="181"/>
  </conditionalFormatting>
  <conditionalFormatting sqref="AC63">
    <cfRule type="duplicateValues" dxfId="2734" priority="180"/>
  </conditionalFormatting>
  <conditionalFormatting sqref="T64:AB64">
    <cfRule type="duplicateValues" dxfId="2733" priority="179"/>
  </conditionalFormatting>
  <conditionalFormatting sqref="AC64">
    <cfRule type="duplicateValues" dxfId="2732" priority="178"/>
  </conditionalFormatting>
  <conditionalFormatting sqref="T67:AB67">
    <cfRule type="duplicateValues" dxfId="2731" priority="177"/>
  </conditionalFormatting>
  <conditionalFormatting sqref="AC67">
    <cfRule type="duplicateValues" dxfId="2730" priority="176"/>
  </conditionalFormatting>
  <conditionalFormatting sqref="D69">
    <cfRule type="duplicateValues" dxfId="2729" priority="175"/>
  </conditionalFormatting>
  <conditionalFormatting sqref="T71:AC71">
    <cfRule type="duplicateValues" dxfId="2728" priority="174"/>
  </conditionalFormatting>
  <conditionalFormatting sqref="T72:AB72">
    <cfRule type="duplicateValues" dxfId="2727" priority="173"/>
  </conditionalFormatting>
  <conditionalFormatting sqref="AC72">
    <cfRule type="duplicateValues" dxfId="2726" priority="172"/>
  </conditionalFormatting>
  <conditionalFormatting sqref="T74:AC74">
    <cfRule type="duplicateValues" dxfId="2725" priority="171"/>
  </conditionalFormatting>
  <conditionalFormatting sqref="T75:AC75">
    <cfRule type="duplicateValues" dxfId="2724" priority="170"/>
  </conditionalFormatting>
  <conditionalFormatting sqref="T76:AB76">
    <cfRule type="duplicateValues" dxfId="2723" priority="169"/>
  </conditionalFormatting>
  <conditionalFormatting sqref="AC76">
    <cfRule type="duplicateValues" dxfId="2722" priority="168"/>
  </conditionalFormatting>
  <conditionalFormatting sqref="AC77">
    <cfRule type="duplicateValues" dxfId="2721" priority="167"/>
  </conditionalFormatting>
  <conditionalFormatting sqref="T77:AB77">
    <cfRule type="duplicateValues" dxfId="2720" priority="166"/>
  </conditionalFormatting>
  <conditionalFormatting sqref="D78">
    <cfRule type="duplicateValues" dxfId="2719" priority="165"/>
  </conditionalFormatting>
  <conditionalFormatting sqref="AD79:AL79">
    <cfRule type="duplicateValues" dxfId="2718" priority="163"/>
  </conditionalFormatting>
  <conditionalFormatting sqref="T80:AC80">
    <cfRule type="duplicateValues" dxfId="2717" priority="162"/>
  </conditionalFormatting>
  <conditionalFormatting sqref="T81:AC81">
    <cfRule type="duplicateValues" dxfId="2716" priority="160"/>
  </conditionalFormatting>
  <conditionalFormatting sqref="T82:AB82">
    <cfRule type="duplicateValues" dxfId="2715" priority="544"/>
  </conditionalFormatting>
  <conditionalFormatting sqref="T83:AB83">
    <cfRule type="duplicateValues" dxfId="2714" priority="156"/>
  </conditionalFormatting>
  <conditionalFormatting sqref="AC83">
    <cfRule type="duplicateValues" dxfId="2713" priority="155"/>
  </conditionalFormatting>
  <conditionalFormatting sqref="T84:AC84">
    <cfRule type="duplicateValues" dxfId="2712" priority="154"/>
  </conditionalFormatting>
  <conditionalFormatting sqref="U85:AC85">
    <cfRule type="duplicateValues" dxfId="2711" priority="153"/>
  </conditionalFormatting>
  <conditionalFormatting sqref="T85">
    <cfRule type="duplicateValues" dxfId="2710" priority="152"/>
  </conditionalFormatting>
  <conditionalFormatting sqref="T86:AB86">
    <cfRule type="duplicateValues" dxfId="2709" priority="151"/>
  </conditionalFormatting>
  <conditionalFormatting sqref="T87:AB87">
    <cfRule type="duplicateValues" dxfId="2708" priority="150"/>
  </conditionalFormatting>
  <conditionalFormatting sqref="T88:AB88">
    <cfRule type="duplicateValues" dxfId="2707" priority="149"/>
  </conditionalFormatting>
  <conditionalFormatting sqref="T89:AB89">
    <cfRule type="duplicateValues" dxfId="2706" priority="148"/>
  </conditionalFormatting>
  <conditionalFormatting sqref="T90:AB90">
    <cfRule type="duplicateValues" dxfId="2705" priority="147"/>
  </conditionalFormatting>
  <conditionalFormatting sqref="AC86">
    <cfRule type="duplicateValues" dxfId="2704" priority="146"/>
  </conditionalFormatting>
  <conditionalFormatting sqref="AC87">
    <cfRule type="duplicateValues" dxfId="2703" priority="145"/>
  </conditionalFormatting>
  <conditionalFormatting sqref="AC88">
    <cfRule type="duplicateValues" dxfId="2702" priority="144"/>
  </conditionalFormatting>
  <conditionalFormatting sqref="AC89">
    <cfRule type="duplicateValues" dxfId="2701" priority="143"/>
  </conditionalFormatting>
  <conditionalFormatting sqref="AC90">
    <cfRule type="duplicateValues" dxfId="2700" priority="142"/>
  </conditionalFormatting>
  <conditionalFormatting sqref="T92:AB92">
    <cfRule type="duplicateValues" dxfId="2699" priority="141"/>
  </conditionalFormatting>
  <conditionalFormatting sqref="AC92">
    <cfRule type="duplicateValues" dxfId="2698" priority="140"/>
  </conditionalFormatting>
  <conditionalFormatting sqref="T91:AC91">
    <cfRule type="duplicateValues" dxfId="2697" priority="545"/>
  </conditionalFormatting>
  <conditionalFormatting sqref="T101:X101">
    <cfRule type="duplicateValues" dxfId="2696" priority="136"/>
  </conditionalFormatting>
  <conditionalFormatting sqref="T93:AB94">
    <cfRule type="duplicateValues" dxfId="2695" priority="127"/>
  </conditionalFormatting>
  <conditionalFormatting sqref="AC93:AC94">
    <cfRule type="duplicateValues" dxfId="2694" priority="126"/>
  </conditionalFormatting>
  <conditionalFormatting sqref="D70">
    <cfRule type="duplicateValues" dxfId="2693" priority="123"/>
  </conditionalFormatting>
  <conditionalFormatting sqref="T45:AC45">
    <cfRule type="duplicateValues" dxfId="2692" priority="121"/>
  </conditionalFormatting>
  <conditionalFormatting sqref="AM45">
    <cfRule type="duplicateValues" dxfId="2691" priority="120"/>
  </conditionalFormatting>
  <conditionalFormatting sqref="AD45:AL45">
    <cfRule type="duplicateValues" dxfId="2690" priority="119"/>
  </conditionalFormatting>
  <conditionalFormatting sqref="A41">
    <cfRule type="cellIs" dxfId="2689" priority="117" operator="equal">
      <formula>""</formula>
    </cfRule>
  </conditionalFormatting>
  <conditionalFormatting sqref="A45">
    <cfRule type="cellIs" dxfId="2688" priority="116" operator="equal">
      <formula>""</formula>
    </cfRule>
  </conditionalFormatting>
  <conditionalFormatting sqref="A46">
    <cfRule type="cellIs" dxfId="2687" priority="115" operator="equal">
      <formula>""</formula>
    </cfRule>
  </conditionalFormatting>
  <conditionalFormatting sqref="T102:AG102">
    <cfRule type="duplicateValues" dxfId="2686" priority="113"/>
  </conditionalFormatting>
  <conditionalFormatting sqref="AH102:AM102">
    <cfRule type="duplicateValues" dxfId="2685" priority="112"/>
  </conditionalFormatting>
  <conditionalFormatting sqref="I13">
    <cfRule type="expression" dxfId="2684" priority="108">
      <formula>$N$13=2</formula>
    </cfRule>
    <cfRule type="expression" dxfId="2683" priority="111">
      <formula>$N$13=1</formula>
    </cfRule>
  </conditionalFormatting>
  <conditionalFormatting sqref="L13">
    <cfRule type="expression" dxfId="2682" priority="109">
      <formula>$N$13=1</formula>
    </cfRule>
    <cfRule type="expression" dxfId="2681" priority="110">
      <formula>$N$13=2</formula>
    </cfRule>
  </conditionalFormatting>
  <conditionalFormatting sqref="A48">
    <cfRule type="cellIs" dxfId="2680" priority="107" operator="equal">
      <formula>""</formula>
    </cfRule>
  </conditionalFormatting>
  <conditionalFormatting sqref="T48">
    <cfRule type="duplicateValues" dxfId="2679" priority="105"/>
  </conditionalFormatting>
  <conditionalFormatting sqref="Y48">
    <cfRule type="duplicateValues" dxfId="2678" priority="104"/>
  </conditionalFormatting>
  <conditionalFormatting sqref="V48">
    <cfRule type="duplicateValues" dxfId="2677" priority="103"/>
  </conditionalFormatting>
  <conditionalFormatting sqref="U48">
    <cfRule type="duplicateValues" dxfId="2676" priority="102"/>
  </conditionalFormatting>
  <conditionalFormatting sqref="AA48">
    <cfRule type="duplicateValues" dxfId="2675" priority="101"/>
  </conditionalFormatting>
  <conditionalFormatting sqref="Z48">
    <cfRule type="duplicateValues" dxfId="2674" priority="100"/>
  </conditionalFormatting>
  <conditionalFormatting sqref="W48">
    <cfRule type="duplicateValues" dxfId="2673" priority="99"/>
  </conditionalFormatting>
  <conditionalFormatting sqref="X48">
    <cfRule type="duplicateValues" dxfId="2672" priority="97"/>
  </conditionalFormatting>
  <conditionalFormatting sqref="AB48">
    <cfRule type="duplicateValues" dxfId="2671" priority="96"/>
  </conditionalFormatting>
  <conditionalFormatting sqref="AB49">
    <cfRule type="duplicateValues" dxfId="2670" priority="95"/>
  </conditionalFormatting>
  <conditionalFormatting sqref="AB50">
    <cfRule type="duplicateValues" dxfId="2669" priority="94"/>
  </conditionalFormatting>
  <conditionalFormatting sqref="A60">
    <cfRule type="cellIs" dxfId="2668" priority="93" operator="equal">
      <formula>""</formula>
    </cfRule>
  </conditionalFormatting>
  <conditionalFormatting sqref="T60:AC60">
    <cfRule type="duplicateValues" dxfId="2667" priority="92"/>
  </conditionalFormatting>
  <conditionalFormatting sqref="A65">
    <cfRule type="cellIs" dxfId="2666" priority="91" operator="equal">
      <formula>""</formula>
    </cfRule>
  </conditionalFormatting>
  <conditionalFormatting sqref="T65:AB65">
    <cfRule type="duplicateValues" dxfId="2665" priority="90"/>
  </conditionalFormatting>
  <conditionalFormatting sqref="AC65">
    <cfRule type="duplicateValues" dxfId="2664" priority="89"/>
  </conditionalFormatting>
  <conditionalFormatting sqref="A66">
    <cfRule type="cellIs" dxfId="2663" priority="88" operator="equal">
      <formula>""</formula>
    </cfRule>
  </conditionalFormatting>
  <conditionalFormatting sqref="T66:AB66">
    <cfRule type="duplicateValues" dxfId="2662" priority="87"/>
  </conditionalFormatting>
  <conditionalFormatting sqref="AC66">
    <cfRule type="duplicateValues" dxfId="2661" priority="86"/>
  </conditionalFormatting>
  <conditionalFormatting sqref="A68">
    <cfRule type="cellIs" dxfId="2660" priority="85" operator="equal">
      <formula>""</formula>
    </cfRule>
  </conditionalFormatting>
  <conditionalFormatting sqref="D68">
    <cfRule type="duplicateValues" dxfId="2659" priority="84"/>
  </conditionalFormatting>
  <conditionalFormatting sqref="A99">
    <cfRule type="cellIs" dxfId="2658" priority="83" operator="equal">
      <formula>""</formula>
    </cfRule>
  </conditionalFormatting>
  <conditionalFormatting sqref="A98">
    <cfRule type="cellIs" dxfId="2657" priority="82" operator="equal">
      <formula>""</formula>
    </cfRule>
  </conditionalFormatting>
  <conditionalFormatting sqref="AC55">
    <cfRule type="duplicateValues" dxfId="2656" priority="80"/>
  </conditionalFormatting>
  <conditionalFormatting sqref="T55:AB55">
    <cfRule type="duplicateValues" dxfId="2655" priority="81"/>
  </conditionalFormatting>
  <conditionalFormatting sqref="EE56:EM56">
    <cfRule type="duplicateValues" dxfId="2654" priority="79"/>
  </conditionalFormatting>
  <conditionalFormatting sqref="CO57:CW57">
    <cfRule type="duplicateValues" dxfId="2653" priority="78"/>
  </conditionalFormatting>
  <conditionalFormatting sqref="A58">
    <cfRule type="cellIs" dxfId="2652" priority="76" operator="equal">
      <formula>""</formula>
    </cfRule>
  </conditionalFormatting>
  <conditionalFormatting sqref="T58:AB58 AD58:AM58">
    <cfRule type="duplicateValues" dxfId="2651" priority="75"/>
  </conditionalFormatting>
  <conditionalFormatting sqref="AO58:AW58 AY58:BH58">
    <cfRule type="duplicateValues" dxfId="2650" priority="74"/>
  </conditionalFormatting>
  <conditionalFormatting sqref="BJ58:BR58 BT58:CC58">
    <cfRule type="duplicateValues" dxfId="2649" priority="73"/>
  </conditionalFormatting>
  <conditionalFormatting sqref="CE58:CM58 DJ58:DS58">
    <cfRule type="duplicateValues" dxfId="2648" priority="72"/>
  </conditionalFormatting>
  <conditionalFormatting sqref="DU58:EC58 EE58:EN58">
    <cfRule type="duplicateValues" dxfId="2647" priority="71"/>
  </conditionalFormatting>
  <conditionalFormatting sqref="CO58:CX58">
    <cfRule type="duplicateValues" dxfId="2646" priority="68"/>
  </conditionalFormatting>
  <conditionalFormatting sqref="A73">
    <cfRule type="cellIs" dxfId="2645" priority="67" operator="equal">
      <formula>""</formula>
    </cfRule>
  </conditionalFormatting>
  <conditionalFormatting sqref="T73:AB73">
    <cfRule type="duplicateValues" dxfId="2644" priority="66"/>
  </conditionalFormatting>
  <conditionalFormatting sqref="AC73">
    <cfRule type="duplicateValues" dxfId="2643" priority="65"/>
  </conditionalFormatting>
  <conditionalFormatting sqref="AC51">
    <cfRule type="duplicateValues" dxfId="2642" priority="64"/>
  </conditionalFormatting>
  <conditionalFormatting sqref="AC82">
    <cfRule type="duplicateValues" dxfId="2641" priority="62"/>
  </conditionalFormatting>
  <conditionalFormatting sqref="T79:AB79">
    <cfRule type="duplicateValues" dxfId="2640" priority="1621"/>
  </conditionalFormatting>
  <conditionalFormatting sqref="AC49">
    <cfRule type="duplicateValues" dxfId="2639" priority="61"/>
  </conditionalFormatting>
  <conditionalFormatting sqref="AC50">
    <cfRule type="duplicateValues" dxfId="2638" priority="60"/>
  </conditionalFormatting>
  <conditionalFormatting sqref="AC48">
    <cfRule type="duplicateValues" dxfId="2637" priority="59"/>
  </conditionalFormatting>
  <conditionalFormatting sqref="AM55">
    <cfRule type="duplicateValues" dxfId="2636" priority="57"/>
  </conditionalFormatting>
  <conditionalFormatting sqref="AD55:AL55">
    <cfRule type="duplicateValues" dxfId="2635" priority="58"/>
  </conditionalFormatting>
  <conditionalFormatting sqref="I22">
    <cfRule type="expression" dxfId="2634" priority="56">
      <formula>$N$21=10</formula>
    </cfRule>
  </conditionalFormatting>
  <conditionalFormatting sqref="C24:E24">
    <cfRule type="cellIs" dxfId="2633" priority="55" operator="equal">
      <formula>""</formula>
    </cfRule>
  </conditionalFormatting>
  <conditionalFormatting sqref="C25:E25">
    <cfRule type="cellIs" dxfId="2632" priority="54" operator="equal">
      <formula>""</formula>
    </cfRule>
  </conditionalFormatting>
  <conditionalFormatting sqref="C26:E26">
    <cfRule type="cellIs" dxfId="2631" priority="53" operator="equal">
      <formula>""</formula>
    </cfRule>
  </conditionalFormatting>
  <conditionalFormatting sqref="C27:E27">
    <cfRule type="cellIs" dxfId="2630" priority="52" operator="equal">
      <formula>""</formula>
    </cfRule>
  </conditionalFormatting>
  <conditionalFormatting sqref="I26:K26 I24:I25">
    <cfRule type="cellIs" dxfId="2629" priority="51" operator="equal">
      <formula>""</formula>
    </cfRule>
  </conditionalFormatting>
  <conditionalFormatting sqref="K7">
    <cfRule type="cellIs" dxfId="2628" priority="42" operator="equal">
      <formula>""</formula>
    </cfRule>
  </conditionalFormatting>
  <conditionalFormatting sqref="L104">
    <cfRule type="cellIs" dxfId="2627" priority="37" operator="equal">
      <formula>""</formula>
    </cfRule>
  </conditionalFormatting>
  <conditionalFormatting sqref="AM57">
    <cfRule type="duplicateValues" dxfId="2626" priority="36"/>
  </conditionalFormatting>
  <conditionalFormatting sqref="BH56">
    <cfRule type="duplicateValues" dxfId="2625" priority="35"/>
  </conditionalFormatting>
  <conditionalFormatting sqref="BH57">
    <cfRule type="duplicateValues" dxfId="2624" priority="34"/>
  </conditionalFormatting>
  <conditionalFormatting sqref="CC57">
    <cfRule type="duplicateValues" dxfId="2623" priority="33"/>
  </conditionalFormatting>
  <conditionalFormatting sqref="CX56">
    <cfRule type="duplicateValues" dxfId="2622" priority="32"/>
  </conditionalFormatting>
  <conditionalFormatting sqref="CX57">
    <cfRule type="duplicateValues" dxfId="2621" priority="31"/>
  </conditionalFormatting>
  <conditionalFormatting sqref="DS56">
    <cfRule type="duplicateValues" dxfId="2620" priority="30"/>
  </conditionalFormatting>
  <conditionalFormatting sqref="DS57">
    <cfRule type="duplicateValues" dxfId="2619" priority="29"/>
  </conditionalFormatting>
  <conditionalFormatting sqref="EN56">
    <cfRule type="duplicateValues" dxfId="2618" priority="28"/>
  </conditionalFormatting>
  <conditionalFormatting sqref="EN57">
    <cfRule type="duplicateValues" dxfId="2617" priority="27"/>
  </conditionalFormatting>
  <conditionalFormatting sqref="FI56">
    <cfRule type="duplicateValues" dxfId="2616" priority="26"/>
  </conditionalFormatting>
  <conditionalFormatting sqref="FI57">
    <cfRule type="duplicateValues" dxfId="2615" priority="25"/>
  </conditionalFormatting>
  <conditionalFormatting sqref="GD56">
    <cfRule type="duplicateValues" dxfId="2614" priority="24"/>
  </conditionalFormatting>
  <conditionalFormatting sqref="GD57">
    <cfRule type="duplicateValues" dxfId="2613" priority="23"/>
  </conditionalFormatting>
  <conditionalFormatting sqref="PV56">
    <cfRule type="duplicateValues" dxfId="2612" priority="22"/>
  </conditionalFormatting>
  <conditionalFormatting sqref="PA56">
    <cfRule type="duplicateValues" dxfId="2611" priority="21"/>
  </conditionalFormatting>
  <conditionalFormatting sqref="OF56">
    <cfRule type="duplicateValues" dxfId="2610" priority="20"/>
  </conditionalFormatting>
  <conditionalFormatting sqref="NK56">
    <cfRule type="duplicateValues" dxfId="2609" priority="19"/>
  </conditionalFormatting>
  <conditionalFormatting sqref="MP56">
    <cfRule type="duplicateValues" dxfId="2608" priority="18"/>
  </conditionalFormatting>
  <conditionalFormatting sqref="LU56">
    <cfRule type="duplicateValues" dxfId="2607" priority="17"/>
  </conditionalFormatting>
  <conditionalFormatting sqref="KZ56">
    <cfRule type="duplicateValues" dxfId="2606" priority="16"/>
  </conditionalFormatting>
  <conditionalFormatting sqref="KE56">
    <cfRule type="duplicateValues" dxfId="2605" priority="15"/>
  </conditionalFormatting>
  <conditionalFormatting sqref="JJ56">
    <cfRule type="duplicateValues" dxfId="2604" priority="14"/>
  </conditionalFormatting>
  <conditionalFormatting sqref="IO56">
    <cfRule type="duplicateValues" dxfId="2603" priority="13"/>
  </conditionalFormatting>
  <conditionalFormatting sqref="HT56">
    <cfRule type="duplicateValues" dxfId="2602" priority="12"/>
  </conditionalFormatting>
  <conditionalFormatting sqref="GY56">
    <cfRule type="duplicateValues" dxfId="2601" priority="11"/>
  </conditionalFormatting>
  <conditionalFormatting sqref="A54">
    <cfRule type="cellIs" dxfId="2600" priority="10" operator="equal">
      <formula>""</formula>
    </cfRule>
  </conditionalFormatting>
  <conditionalFormatting sqref="AC54">
    <cfRule type="duplicateValues" dxfId="2599" priority="8"/>
  </conditionalFormatting>
  <conditionalFormatting sqref="T54:AB54">
    <cfRule type="duplicateValues" dxfId="2598" priority="9"/>
  </conditionalFormatting>
  <conditionalFormatting sqref="AM54">
    <cfRule type="duplicateValues" dxfId="2597" priority="6"/>
  </conditionalFormatting>
  <conditionalFormatting sqref="AD54:AL54">
    <cfRule type="duplicateValues" dxfId="2596" priority="7"/>
  </conditionalFormatting>
  <conditionalFormatting sqref="A53">
    <cfRule type="cellIs" dxfId="2595" priority="5" operator="equal">
      <formula>""</formula>
    </cfRule>
  </conditionalFormatting>
  <conditionalFormatting sqref="AC53">
    <cfRule type="duplicateValues" dxfId="2594" priority="3"/>
  </conditionalFormatting>
  <conditionalFormatting sqref="T53:AB53">
    <cfRule type="duplicateValues" dxfId="2593" priority="4"/>
  </conditionalFormatting>
  <conditionalFormatting sqref="AM53">
    <cfRule type="duplicateValues" dxfId="2592" priority="1"/>
  </conditionalFormatting>
  <conditionalFormatting sqref="AD53:AL53">
    <cfRule type="duplicateValues" dxfId="2591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9" r:id="rId5" name="Option Button 1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350520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6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7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350520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8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1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2" name="Option Button 42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3" name="Option Button 43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4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5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6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7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8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9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20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21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2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3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altText="">
                <anchor moveWithCells="1">
                  <from>
                    <xdr:col>11</xdr:col>
                    <xdr:colOff>838200</xdr:colOff>
                    <xdr:row>14</xdr:row>
                    <xdr:rowOff>45720</xdr:rowOff>
                  </from>
                  <to>
                    <xdr:col>11</xdr:col>
                    <xdr:colOff>883920</xdr:colOff>
                    <xdr:row>14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5" name="Option Button 3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1" id="{71D6FC95-C060-463C-ABA7-71E7467099BC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330" id="{4E9B4567-76F2-4BD3-A24D-0180D3E6AA48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329" id="{A3E72E2D-2702-421A-97C6-3D3C8795B5A5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327" id="{252A10F3-B1FE-476B-BE97-EF66AACDA225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324" id="{66954799-89B8-40D5-BB11-C23762FEE26A}">
            <xm:f>$I$101=Formeln!$A$1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I101:K101</xm:sqref>
        </x14:conditionalFormatting>
        <x14:conditionalFormatting xmlns:xm="http://schemas.microsoft.com/office/excel/2006/main">
          <x14:cfRule type="expression" priority="323" id="{798E6045-DD60-41A1-A9D4-96E0CF82E5E5}">
            <xm:f>$I$102=Formeln!$A$1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I102</xm:sqref>
        </x14:conditionalFormatting>
        <x14:conditionalFormatting xmlns:xm="http://schemas.microsoft.com/office/excel/2006/main">
          <x14:cfRule type="expression" priority="321" id="{9E9005B4-76E2-4BE5-8A22-99E84C2C860E}">
            <xm:f>$K$102=Formeln!$A$1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K102</xm:sqref>
        </x14:conditionalFormatting>
        <x14:conditionalFormatting xmlns:xm="http://schemas.microsoft.com/office/excel/2006/main">
          <x14:cfRule type="expression" priority="1508" id="{26376937-140A-47E7-959B-F6341C319F82}">
            <xm:f>$H$36=Formeln!$A$143+Formeln!$A$1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39" id="{7205E907-E3D7-4D83-8269-589A22F036BD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38" id="{ED9D1D70-E02B-4BCA-A57C-C360075BC042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100-000000000000}">
          <x14:formula1>
            <xm:f>Formeln!$A$27:$A$48</xm:f>
          </x14:formula1>
          <xm:sqref>J56:K56</xm:sqref>
        </x14:dataValidation>
        <x14:dataValidation type="list" allowBlank="1" showInputMessage="1" showErrorMessage="1" xr:uid="{00000000-0002-0000-0100-000001000000}">
          <x14:formula1>
            <xm:f>Formeln!$A$20:$A$22</xm:f>
          </x14:formula1>
          <xm:sqref>I102</xm:sqref>
        </x14:dataValidation>
        <x14:dataValidation type="list" allowBlank="1" showInputMessage="1" showErrorMessage="1" xr:uid="{00000000-0002-0000-0100-000002000000}">
          <x14:formula1>
            <xm:f>Formeln!$A$17:$A$19</xm:f>
          </x14:formula1>
          <xm:sqref>H50:K50</xm:sqref>
        </x14:dataValidation>
        <x14:dataValidation type="list" allowBlank="1" showInputMessage="1" showErrorMessage="1" xr:uid="{00000000-0002-0000-0100-000003000000}">
          <x14:formula1>
            <xm:f>Formeln!$A$14:$A$16</xm:f>
          </x14:formula1>
          <xm:sqref>H49:K49</xm:sqref>
        </x14:dataValidation>
        <x14:dataValidation type="list" allowBlank="1" showInputMessage="1" showErrorMessage="1" xr:uid="{00000000-0002-0000-0100-000004000000}">
          <x14:formula1>
            <xm:f>Formeln!$A$9:$A$12</xm:f>
          </x14:formula1>
          <xm:sqref>H39:K39</xm:sqref>
        </x14:dataValidation>
        <x14:dataValidation type="list" allowBlank="1" showInputMessage="1" showErrorMessage="1" xr:uid="{00000000-0002-0000-0100-000005000000}">
          <x14:formula1>
            <xm:f>Formeln!$A$5:$A$8</xm:f>
          </x14:formula1>
          <xm:sqref>H37:K37</xm:sqref>
        </x14:dataValidation>
        <x14:dataValidation type="list" allowBlank="1" showInputMessage="1" showErrorMessage="1" xr:uid="{00000000-0002-0000-0100-000006000000}">
          <x14:formula1>
            <xm:f>Formeln!$A$1:$A$4</xm:f>
          </x14:formula1>
          <xm:sqref>H36:K36</xm:sqref>
        </x14:dataValidation>
        <x14:dataValidation type="list" allowBlank="1" showInputMessage="1" showErrorMessage="1" xr:uid="{00000000-0002-0000-0100-000007000000}">
          <x14:formula1>
            <xm:f>Formeln!$A$103:$A$108</xm:f>
          </x14:formula1>
          <xm:sqref>I101:K101</xm:sqref>
        </x14:dataValidation>
        <x14:dataValidation type="list" allowBlank="1" showInputMessage="1" showErrorMessage="1" xr:uid="{00000000-0002-0000-0100-000008000000}">
          <x14:formula1>
            <xm:f>Formeln!$A$49:$A$100</xm:f>
          </x14:formula1>
          <xm:sqref>J57:K57</xm:sqref>
        </x14:dataValidation>
        <x14:dataValidation type="list" allowBlank="1" showInputMessage="1" showErrorMessage="1" xr:uid="{00000000-0002-0000-0100-000009000000}">
          <x14:formula1>
            <xm:f>Formeln!$C$49:$C$108</xm:f>
          </x14:formula1>
          <xm:sqref>J58:K58</xm:sqref>
        </x14:dataValidation>
        <x14:dataValidation type="list" allowBlank="1" showInputMessage="1" showErrorMessage="1" xr:uid="{00000000-0002-0000-0100-00000A000000}">
          <x14:formula1>
            <xm:f>Formeln!$A$124:$A$134</xm:f>
          </x14:formula1>
          <xm:sqref>K102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7"/>
  <dimension ref="A1:QR121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9" hidden="1" customWidth="1"/>
    <col min="16" max="16" width="24.6640625" style="9" hidden="1" customWidth="1"/>
    <col min="17" max="17" width="24.6640625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VLOOKUP("DACHSCHINDEL",Sprachindex!A:Z,Info!$O$6,FALSE)</f>
        <v>DACHSCHINDEL</v>
      </c>
    </row>
    <row r="3" spans="1:17" ht="15" customHeight="1"/>
    <row r="4" spans="1:17" ht="17.25" customHeight="1">
      <c r="J4" s="107" t="str">
        <f>VLOOKUP("RETOURNIERUNG PER FAX:",Sprachindex!A:Z,Info!$O$6,FALSE)</f>
        <v>RETOURNIERUNG PER FAX:</v>
      </c>
      <c r="K4" s="254"/>
      <c r="L4" s="255"/>
      <c r="M4" s="256"/>
      <c r="Q4" s="3"/>
    </row>
    <row r="5" spans="1:17" ht="17.25" customHeight="1">
      <c r="J5" s="107" t="str">
        <f>VLOOKUP("ODER EMAIL:",Sprachindex!A:Z,Info!$O$6,FALSE)</f>
        <v>ODER EMAIL:</v>
      </c>
      <c r="K5" s="254"/>
      <c r="L5" s="255"/>
      <c r="M5" s="256"/>
      <c r="Q5" s="3"/>
    </row>
    <row r="6" spans="1:17" ht="17.25" customHeight="1">
      <c r="J6" s="107" t="str">
        <f>VLOOKUP("Datum:",Sprachindex!A:Z,Info!$O$6,FALSE)</f>
        <v>Datum:</v>
      </c>
      <c r="K6" s="254"/>
      <c r="L6" s="255"/>
      <c r="M6" s="256"/>
      <c r="N6" s="54"/>
      <c r="Q6" s="3"/>
    </row>
    <row r="7" spans="1:17" ht="17.25" customHeight="1">
      <c r="J7" s="107" t="str">
        <f>VLOOKUP("Bestellnummer:",Sprachindex!A:Z,Info!$O$6,FALSE)</f>
        <v>Bestellnummer:</v>
      </c>
      <c r="K7" s="254"/>
      <c r="L7" s="255"/>
      <c r="M7" s="256"/>
      <c r="N7" s="54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P8" s="10"/>
    </row>
    <row r="9" spans="1:17" ht="15" customHeight="1"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N9" s="55"/>
      <c r="O9" s="11"/>
      <c r="Q9" s="4"/>
    </row>
    <row r="10" spans="1:17" ht="15" customHeight="1"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112"/>
      <c r="J10" s="87">
        <v>1</v>
      </c>
      <c r="K10" s="86"/>
      <c r="L10" s="86"/>
      <c r="Q10" s="4"/>
    </row>
    <row r="11" spans="1:17" ht="15" customHeight="1"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11"/>
      <c r="Q11" s="4"/>
    </row>
    <row r="12" spans="1:17" ht="15" customHeight="1"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</row>
    <row r="13" spans="1:17" ht="15" customHeight="1"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N13" s="54"/>
      <c r="O13" s="12"/>
      <c r="Q13" s="4"/>
    </row>
    <row r="14" spans="1:17" ht="15" customHeight="1"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Q14" s="4"/>
    </row>
    <row r="15" spans="1:17" ht="15" customHeight="1"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Q15" s="4"/>
    </row>
    <row r="16" spans="1:17" ht="15" customHeight="1"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</row>
    <row r="17" spans="1:3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P17" s="10"/>
    </row>
    <row r="18" spans="1:39" ht="15" customHeight="1"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N18" s="14"/>
      <c r="Q18" s="4"/>
    </row>
    <row r="19" spans="1:39" ht="15" customHeight="1"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Q19" s="4"/>
    </row>
    <row r="20" spans="1:39" ht="15" customHeight="1"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Q20" s="4"/>
      <c r="S20" s="36"/>
      <c r="T20" s="36"/>
    </row>
    <row r="21" spans="1:39" ht="15" customHeight="1"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N21" s="55">
        <v>0</v>
      </c>
      <c r="Q21" s="4"/>
    </row>
    <row r="22" spans="1:39" s="5" customFormat="1" ht="15" customHeight="1">
      <c r="A22" s="1"/>
      <c r="B22" s="90"/>
      <c r="C22" s="86"/>
      <c r="D22" s="86"/>
      <c r="E22" s="86"/>
      <c r="F22" s="90"/>
      <c r="G22" s="86"/>
      <c r="H22" s="86"/>
      <c r="I22" s="114"/>
      <c r="J22" s="86"/>
      <c r="K22" s="86"/>
      <c r="L22" s="86"/>
      <c r="M22" s="86"/>
      <c r="N22" s="87"/>
      <c r="O22" s="56"/>
      <c r="P22" s="56"/>
      <c r="Q22" s="14"/>
    </row>
    <row r="23" spans="1:39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39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87"/>
      <c r="O24" s="56"/>
      <c r="P24" s="56"/>
      <c r="Q24" s="14"/>
    </row>
    <row r="25" spans="1:39" s="5" customFormat="1" ht="15" customHeight="1">
      <c r="A25" s="1"/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87"/>
      <c r="O25" s="56"/>
      <c r="P25" s="56"/>
      <c r="Q25" s="14"/>
    </row>
    <row r="26" spans="1:39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91"/>
      <c r="J26" s="280"/>
      <c r="K26" s="281"/>
      <c r="L26" s="86"/>
      <c r="M26" s="86"/>
      <c r="N26" s="87"/>
      <c r="O26" s="56"/>
      <c r="P26" s="56"/>
      <c r="Q26" s="14"/>
    </row>
    <row r="27" spans="1:39" s="5" customFormat="1" ht="15" customHeight="1">
      <c r="A27" s="1"/>
      <c r="B27" s="283"/>
      <c r="C27" s="254"/>
      <c r="D27" s="255"/>
      <c r="E27" s="256"/>
      <c r="F27" s="86"/>
      <c r="L27" s="86"/>
      <c r="M27" s="86"/>
      <c r="N27" s="87"/>
      <c r="O27" s="56"/>
      <c r="P27" s="56"/>
      <c r="Q27" s="14"/>
    </row>
    <row r="28" spans="1:39" ht="15" customHeight="1"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Q28" s="4"/>
    </row>
    <row r="29" spans="1:39" s="86" customFormat="1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N29" s="87"/>
      <c r="P29" s="282" t="s">
        <v>24</v>
      </c>
      <c r="Q29" s="282"/>
    </row>
    <row r="30" spans="1:39" s="86" customFormat="1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N30" s="87"/>
      <c r="P30" s="212" t="s">
        <v>27</v>
      </c>
      <c r="Q30" s="212" t="s">
        <v>28</v>
      </c>
      <c r="T30" s="121" t="s">
        <v>29</v>
      </c>
      <c r="U30" s="121" t="s">
        <v>30</v>
      </c>
      <c r="V30" s="121" t="s">
        <v>31</v>
      </c>
      <c r="W30" s="121" t="s">
        <v>32</v>
      </c>
      <c r="X30" s="121" t="s">
        <v>33</v>
      </c>
      <c r="Y30" s="121" t="s">
        <v>34</v>
      </c>
      <c r="Z30" s="121" t="s">
        <v>35</v>
      </c>
      <c r="AA30" s="121" t="s">
        <v>36</v>
      </c>
      <c r="AB30" s="121" t="s">
        <v>37</v>
      </c>
      <c r="AC30" s="121" t="s">
        <v>38</v>
      </c>
      <c r="AD30" s="121" t="s">
        <v>29</v>
      </c>
      <c r="AE30" s="121" t="s">
        <v>30</v>
      </c>
      <c r="AF30" s="121" t="s">
        <v>31</v>
      </c>
      <c r="AG30" s="121" t="s">
        <v>32</v>
      </c>
      <c r="AH30" s="121" t="s">
        <v>33</v>
      </c>
      <c r="AI30" s="121" t="s">
        <v>34</v>
      </c>
      <c r="AJ30" s="121" t="s">
        <v>35</v>
      </c>
      <c r="AK30" s="121" t="s">
        <v>36</v>
      </c>
      <c r="AL30" s="121" t="s">
        <v>37</v>
      </c>
      <c r="AM30" s="121" t="s">
        <v>38</v>
      </c>
    </row>
    <row r="31" spans="1:39" ht="32.1" customHeight="1">
      <c r="A31" s="118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88" t="str">
        <f>VLOOKUP("Dachschindel",Sprachindex!A:Z,Info!$O$6,FALSE)</f>
        <v>DACHSCHINDEL</v>
      </c>
      <c r="F31" s="289"/>
      <c r="G31" s="289"/>
      <c r="H31" s="289"/>
      <c r="I31" s="289"/>
      <c r="J31" s="289"/>
      <c r="K31" s="290"/>
      <c r="L31" s="93" t="str">
        <f t="shared" ref="L31:L70" si="0">IF(A31=0,"",IF($N$11=1,P31,Q31))</f>
        <v/>
      </c>
      <c r="M31" s="125"/>
      <c r="O31" s="1"/>
      <c r="P31" s="213" t="str">
        <f>ROUNDUP($A31/10,0)*10&amp;" " &amp; Formeln!$A$110 &amp; "                     "  &amp; "(="&amp;ROUNDUP($A31/10,0)*10*10&amp; " " &amp; Formeln!$A$111 &amp; ")"</f>
        <v>0 m²                     (=0 STK)</v>
      </c>
      <c r="Q31" s="214" t="str">
        <f>ROUNDUP($A31/1,0)*1 &amp;" " &amp; Formeln!$A$110 &amp; "                                    (="&amp;ROUNDUP($A31/1,0)*10&amp;" " &amp; Formeln!$A$111 &amp; ")"</f>
        <v>0 m²                                    (=0 STK)</v>
      </c>
      <c r="T31" s="46">
        <v>110720</v>
      </c>
      <c r="U31" s="46">
        <v>110721</v>
      </c>
      <c r="V31" s="46">
        <v>110722</v>
      </c>
      <c r="W31" s="46">
        <v>110723</v>
      </c>
      <c r="X31" s="46">
        <v>110724</v>
      </c>
      <c r="Y31" s="46">
        <v>110725</v>
      </c>
      <c r="Z31" s="46">
        <v>110726</v>
      </c>
      <c r="AA31" s="46">
        <v>110727</v>
      </c>
      <c r="AB31" s="46">
        <v>110728</v>
      </c>
      <c r="AD31" s="46">
        <v>110730</v>
      </c>
      <c r="AE31" s="46">
        <v>110731</v>
      </c>
      <c r="AF31" s="46">
        <v>110732</v>
      </c>
      <c r="AG31" s="46">
        <v>110733</v>
      </c>
      <c r="AH31" s="46">
        <v>110734</v>
      </c>
      <c r="AI31" s="46">
        <v>110735</v>
      </c>
      <c r="AJ31" s="46">
        <v>110736</v>
      </c>
      <c r="AK31" s="46">
        <v>110737</v>
      </c>
      <c r="AL31" s="46">
        <v>110738</v>
      </c>
      <c r="AM31" s="46">
        <v>110739</v>
      </c>
    </row>
    <row r="32" spans="1:39" ht="32.1" customHeight="1">
      <c r="A32" s="118"/>
      <c r="B32" s="96" t="str">
        <f>VLOOKUP("Stk",Sprachindex!A:Z,Info!$O$6,FALSE)</f>
        <v>STK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0" t="str">
        <f>VLOOKUP("Passschindel für Anschlüsse (840 × 240 mm)",Sprachindex!A:Z,Info!$O$6,FALSE)</f>
        <v>Passschindel für Anschlüsse (840 × 240 mm)</v>
      </c>
      <c r="F32" s="251"/>
      <c r="G32" s="251"/>
      <c r="H32" s="251"/>
      <c r="I32" s="251"/>
      <c r="J32" s="251"/>
      <c r="K32" s="257"/>
      <c r="L32" s="96" t="str">
        <f t="shared" si="0"/>
        <v/>
      </c>
      <c r="M32" s="97"/>
      <c r="O32" s="1"/>
      <c r="P32" s="191" t="str">
        <f>ROUNDUP($A32/10,0)*10 &amp; " " &amp; Formeln!$A$111</f>
        <v>0 STK</v>
      </c>
      <c r="Q32" s="191" t="str">
        <f>ROUNDUP($A32,0) &amp;" " &amp; Formeln!$A$111</f>
        <v>0 STK</v>
      </c>
      <c r="T32" s="46">
        <v>110740</v>
      </c>
      <c r="U32" s="46">
        <v>110741</v>
      </c>
      <c r="V32" s="46">
        <v>110742</v>
      </c>
      <c r="W32" s="46">
        <v>110743</v>
      </c>
      <c r="X32" s="46">
        <v>110744</v>
      </c>
      <c r="Y32" s="46">
        <v>110745</v>
      </c>
      <c r="Z32" s="46">
        <v>110746</v>
      </c>
      <c r="AA32" s="46">
        <v>110747</v>
      </c>
      <c r="AB32" s="46">
        <v>110748</v>
      </c>
      <c r="AD32" s="46">
        <v>110750</v>
      </c>
      <c r="AE32" s="46">
        <v>110751</v>
      </c>
      <c r="AF32" s="46">
        <v>110752</v>
      </c>
      <c r="AG32" s="46">
        <v>110753</v>
      </c>
      <c r="AH32" s="46">
        <v>110754</v>
      </c>
      <c r="AI32" s="46">
        <v>110755</v>
      </c>
      <c r="AJ32" s="46">
        <v>110756</v>
      </c>
      <c r="AK32" s="46">
        <v>110757</v>
      </c>
      <c r="AL32" s="46">
        <v>110758</v>
      </c>
      <c r="AM32" s="46">
        <v>110759</v>
      </c>
    </row>
    <row r="33" spans="1:39" ht="32.1" customHeight="1">
      <c r="A33" s="118"/>
      <c r="B33" s="96" t="str">
        <f>VLOOKUP("Stk",Sprachindex!A:Z,Info!$O$6,FALSE)</f>
        <v>STK</v>
      </c>
      <c r="C33" s="95"/>
      <c r="D33" s="95">
        <v>505001</v>
      </c>
      <c r="E33" s="250" t="str">
        <f>VLOOKUP("Patenthaft, für Platte, Schindel und DS.19",Sprachindex!A:Z,Info!$O$6,FALSE)</f>
        <v>Patenthaft, für Platte, Schindel und DS.19</v>
      </c>
      <c r="F33" s="251"/>
      <c r="G33" s="251"/>
      <c r="H33" s="251"/>
      <c r="I33" s="251"/>
      <c r="J33" s="251"/>
      <c r="K33" s="257"/>
      <c r="L33" s="96" t="str">
        <f t="shared" si="0"/>
        <v/>
      </c>
      <c r="M33" s="97"/>
      <c r="O33" s="1"/>
      <c r="P33" s="191" t="str">
        <f>ROUNDUP($A33/840,0)*840 &amp; " " &amp; Formeln!$A$111</f>
        <v>0 STK</v>
      </c>
      <c r="Q33" s="191" t="str">
        <f>ROUNDUP($A33,0) &amp;" " &amp; Formeln!$A$111</f>
        <v>0 STK</v>
      </c>
    </row>
    <row r="34" spans="1:39" ht="32.1" customHeight="1">
      <c r="A34" s="118"/>
      <c r="B34" s="96" t="str">
        <f>VLOOKUP("lfm",Sprachindex!A:Z,Info!$O$6,FALSE)</f>
        <v>lfm</v>
      </c>
      <c r="C34" s="95"/>
      <c r="D34" s="99">
        <v>562005</v>
      </c>
      <c r="E34" s="250" t="str">
        <f>VLOOKUP("Saumstreifen 1x158x1800mm ",Sprachindex!A:Z,Info!$O$6,FALSE)</f>
        <v xml:space="preserve">Saumstreifen 1x158x1800mm </v>
      </c>
      <c r="F34" s="251"/>
      <c r="G34" s="251"/>
      <c r="H34" s="251"/>
      <c r="I34" s="251"/>
      <c r="J34" s="251"/>
      <c r="K34" s="257"/>
      <c r="L34" s="96" t="str">
        <f t="shared" si="0"/>
        <v/>
      </c>
      <c r="M34" s="97"/>
      <c r="O34" s="1"/>
      <c r="P34" s="189" t="str">
        <f>ROUNDUP($A34/1.8,0)*1.8 &amp; " " &amp; Formeln!$A$112 &amp; "                     " &amp; "(="&amp;ROUNDUP($A34/1.8,0)&amp; " " &amp; Formeln!$A$111 &amp; ")"</f>
        <v>0 lfm                     (=0 STK)</v>
      </c>
      <c r="Q34" s="189" t="str">
        <f>ROUNDUP($A34/1.8,0)*1.8 &amp; " " &amp; Formeln!$A$112 &amp; "                     " &amp; "(="&amp;ROUNDUP($A34/1.8,0) &amp;" " &amp; Formeln!$A$111 &amp; ")"</f>
        <v>0 lfm                     (=0 STK)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0" t="str">
        <f>VLOOKUP("Rillennägel, verzinkt",Sprachindex!A:Z,Info!$O$6,FALSE)</f>
        <v>Rillennägel, verzinkt</v>
      </c>
      <c r="F35" s="251"/>
      <c r="G35" s="251"/>
      <c r="H35" s="252"/>
      <c r="I35" s="267"/>
      <c r="J35" s="267"/>
      <c r="K35" s="253"/>
      <c r="L35" s="96" t="str">
        <f>IF(A35=0,"",IF(H35=Formeln!$A$1,"",IF($N$11=1,P35,Q35)))</f>
        <v/>
      </c>
      <c r="M35" s="97"/>
      <c r="O35" s="1"/>
      <c r="P35" s="190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STK</v>
      </c>
      <c r="Q35" s="190" t="str">
        <f>ROUNDUP($A35,2) &amp; " " &amp; Formeln!$A$114 &amp; "                     " &amp; "(="&amp;ROUNDUP($A35/0.5,1)*0.5*$R35 &amp;" " &amp; Formeln!$A$111 &amp; ")"</f>
        <v>0 kg                     (=0 STK)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Karton</v>
      </c>
      <c r="C36" s="95"/>
      <c r="D36" s="95">
        <f>IF(H36=Formeln!A6,341395,IF(H36=Formeln!A7,341396,IF(H36=Formeln!A8,341398,0)))</f>
        <v>0</v>
      </c>
      <c r="E36" s="250" t="str">
        <f>VLOOKUP("Rillennägel gebunden",Sprachindex!A:Z,Info!$O$6,FALSE)</f>
        <v>Rillennägel gebunden</v>
      </c>
      <c r="F36" s="251"/>
      <c r="G36" s="251"/>
      <c r="H36" s="252"/>
      <c r="I36" s="267"/>
      <c r="J36" s="267"/>
      <c r="K36" s="253"/>
      <c r="L36" s="183" t="str">
        <f>IF($A36=0,"",IF($H36=Formeln!$A$5,"",IF($N$11=1,P36,Q36)))</f>
        <v/>
      </c>
      <c r="M36" s="97"/>
      <c r="O36" s="1"/>
      <c r="P36" s="190" t="str">
        <f>ROUNDUP($A36/$R36,0)*$R36 &amp; " " &amp; Formeln!$A$111 &amp; "        " &amp; "(="&amp; ROUNDUP($A36/$R36,0) &amp;" " &amp; Formeln!$A$113 &amp; ")"</f>
        <v>0 STK        (=0 Karton)</v>
      </c>
      <c r="Q36" s="191" t="str">
        <f>$A36&amp;" "&amp;Formeln!$A$111&amp;"        " &amp; "(="&amp;ROUNDUP($A36/$R36,2)&amp;" "&amp;Formeln!$A$113&amp;")"</f>
        <v xml:space="preserve"> STK        (=0 Karton)</v>
      </c>
      <c r="R36" s="192">
        <f>IF($H36=Formeln!$A$7,2400,3200)</f>
        <v>3200</v>
      </c>
    </row>
    <row r="37" spans="1:39" ht="32.1" customHeight="1">
      <c r="A37" s="118"/>
      <c r="B37" s="96" t="str">
        <f>VLOOKUP("lfm",Sprachindex!A:Z,Info!$O$6,FALSE)</f>
        <v>lfm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0" t="str">
        <f>VLOOKUP("Einlaufblech",Sprachindex!A:Z,Info!$O$6,FALSE)</f>
        <v>Einlaufblech</v>
      </c>
      <c r="F37" s="251"/>
      <c r="G37" s="251"/>
      <c r="H37" s="251"/>
      <c r="I37" s="251"/>
      <c r="J37" s="251"/>
      <c r="K37" s="257"/>
      <c r="L37" s="96" t="str">
        <f t="shared" si="0"/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lfm                (=0 STK)</v>
      </c>
      <c r="Q37" s="191" t="str">
        <f>ROUNDUP($A37/2,0)*2 &amp;" " &amp; Formeln!$A$112 &amp; "                " &amp; "(="&amp;ROUNDUP($A37/2,0) &amp; " " &amp;Formeln!$A$111 &amp; ")"</f>
        <v>0 lfm                (=0 STK)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lfm</v>
      </c>
      <c r="C38" s="99"/>
      <c r="D38" s="99" t="str">
        <f>IF(H38=Formeln!A10,507400,IF(H38=Formeln!A11,507402,IF(H38=Formeln!A12,507411,IF(H38=Formeln!A13,"",0))))</f>
        <v/>
      </c>
      <c r="E38" s="250" t="str">
        <f>VLOOKUP("Lüftungsband",Sprachindex!A:Z,Info!$O$6,FALSE)</f>
        <v>Lüftungsband</v>
      </c>
      <c r="F38" s="251"/>
      <c r="G38" s="251"/>
      <c r="H38" s="252"/>
      <c r="I38" s="267"/>
      <c r="J38" s="267"/>
      <c r="K38" s="253"/>
      <c r="L38" s="96" t="str">
        <f>IF($H38=Formeln!$A$9," ",IF(A38=0,"",IF($N$11=1,P38,Q38)))</f>
        <v xml:space="preserve"> </v>
      </c>
      <c r="M38" s="97"/>
      <c r="O38" s="1"/>
      <c r="P38" s="191" t="str">
        <f>ROUNDUP($A38/40,0)*40 &amp;" " &amp; Formeln!$A$112</f>
        <v>0 lfm</v>
      </c>
      <c r="Q38" s="191" t="str">
        <f>$A38 &amp;" " &amp; Formeln!$A$112</f>
        <v xml:space="preserve"> lfm</v>
      </c>
    </row>
    <row r="39" spans="1:39" ht="32.1" customHeight="1">
      <c r="A39" s="118"/>
      <c r="B39" s="96" t="str">
        <f>VLOOKUP("lfm",Sprachindex!A:Z,Info!$O$6,FALSE)</f>
        <v>lfm</v>
      </c>
      <c r="C39" s="95"/>
      <c r="D39" s="95">
        <v>507300</v>
      </c>
      <c r="E39" s="250" t="str">
        <f>VLOOKUP("Vogelschutzgitter, Lochbreite 5mm, 0,70x125x2000mm, braun/anthrazit",Sprachindex!A:Z,Info!$O$6,FALSE)</f>
        <v>Vogelschutzgitter, Lochbreite 5mm, 0,70x125x2000mm, braun/anthrazit</v>
      </c>
      <c r="F39" s="251"/>
      <c r="G39" s="251"/>
      <c r="H39" s="251"/>
      <c r="I39" s="251"/>
      <c r="J39" s="251"/>
      <c r="K39" s="257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lfm                (=0 STK)</v>
      </c>
      <c r="Q39" s="191" t="str">
        <f>ROUNDUP($A39/2,0)*2 &amp;" " &amp; Formeln!$A$112 &amp; "                " &amp; "(="&amp;ROUNDUP($A39/2,0) &amp; " " &amp;Formeln!$A$111 &amp; ")"</f>
        <v>0 lfm                (=0 STK)</v>
      </c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0" t="str">
        <f>VLOOKUP("Ortgangstreifen, 0,70x95x2000mm",Sprachindex!A:Z,Info!$O$6,FALSE)</f>
        <v>Ortgangstreifen, 0,70x95x2000mm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lfm                (=0 STK)</v>
      </c>
      <c r="Q40" s="191" t="str">
        <f>ROUNDUP($A40/2,0)*2 &amp;" " &amp; Formeln!$A$112 &amp; "                " &amp; "(="&amp;ROUNDUP($A40/2,0) &amp; " " &amp;Formeln!$A$111 &amp; ")"</f>
        <v>0 lfm                (=0 STK)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 t="shared" si="1"/>
        <v>0</v>
      </c>
      <c r="E41" s="250" t="str">
        <f>VLOOKUP("Sicherheitskehle 3m lang",Sprachindex!A:Z,Info!$O$6,FALSE)</f>
        <v>Sicherheitskehle 3m lang</v>
      </c>
      <c r="F41" s="251"/>
      <c r="G41" s="251"/>
      <c r="H41" s="251"/>
      <c r="I41" s="251"/>
      <c r="J41" s="251"/>
      <c r="K41" s="257"/>
      <c r="L41" s="96" t="str">
        <f t="shared" si="0"/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lfm                (=0 STK)</v>
      </c>
      <c r="Q41" s="191" t="str">
        <f>ROUNDUP($A41/3,0)*3 &amp;" " &amp; Formeln!$A$112 &amp; "                " &amp; "(="&amp;ROUNDUP($A41/3,0) &amp; " " &amp;Formeln!$A$111 &amp; ")"</f>
        <v>0 lfm                (=0 STK)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si="1"/>
        <v>0</v>
      </c>
      <c r="E42" s="250" t="str">
        <f>VLOOKUP("Grat-Firstreiter inkl. Dichtschrauben ",Sprachindex!A:Z,Info!$O$6,FALSE)</f>
        <v xml:space="preserve">Grat-Firstreiter inkl. Dichtschrauben 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lfm                     (=0 STK)</v>
      </c>
      <c r="Q42" s="191" t="str">
        <f>ROUNDUP($A42/0.5,0)*0.5 &amp;" " &amp; Formeln!$A$112 &amp; "                     " &amp; "(="&amp;ROUNDUP($A42/0.5,0)&amp; " " &amp; Formeln!$A$111 &amp; ")"</f>
        <v>0 lfm                     (=0 STK)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STK</v>
      </c>
      <c r="C43" s="95"/>
      <c r="D43" s="95">
        <f t="shared" si="1"/>
        <v>0</v>
      </c>
      <c r="E43" s="250" t="str">
        <f>VLOOKUP("Gratreitervorkopf",Sprachindex!A:Z,Info!$O$6,FALSE)</f>
        <v>Gratreitervorkopf</v>
      </c>
      <c r="F43" s="251"/>
      <c r="G43" s="251"/>
      <c r="H43" s="251"/>
      <c r="I43" s="251"/>
      <c r="J43" s="251"/>
      <c r="K43" s="257"/>
      <c r="L43" s="96" t="str">
        <f t="shared" si="0"/>
        <v/>
      </c>
      <c r="M43" s="97"/>
      <c r="O43" s="1"/>
      <c r="P43" s="191" t="str">
        <f>ROUNDUP($A43/10,0)*10 &amp;" " &amp; Formeln!$A$111</f>
        <v>0 STK</v>
      </c>
      <c r="Q43" s="191" t="str">
        <f>ROUNDUP($A43/1,0)*1 &amp;" " &amp; Formeln!$A$111</f>
        <v>0 STK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lfm</v>
      </c>
      <c r="C44" s="95"/>
      <c r="D44" s="95">
        <f t="shared" si="1"/>
        <v>0</v>
      </c>
      <c r="E44" s="250" t="str">
        <f>VLOOKUP("Jet-Lüfter 1.2m lang",Sprachindex!A:Z,Info!$O$6,FALSE)</f>
        <v>Jet-Lüfter 1.2m lang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lfm                (=0 STK)</v>
      </c>
      <c r="Q44" s="191" t="str">
        <f>ROUNDUP($A44/1.2,0)*1.2 &amp;" " &amp; Formeln!$A$112 &amp; "                " &amp; "(="&amp;ROUNDUP($A44/1.2,0) &amp; " " &amp;Formeln!$A$111 &amp; ")"</f>
        <v>0 lfm                (=0 STK)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lfm</v>
      </c>
      <c r="C45" s="95"/>
      <c r="D45" s="95">
        <f t="shared" si="1"/>
        <v>0</v>
      </c>
      <c r="E45" s="250" t="str">
        <f>VLOOKUP("Jet-Lüfter",Sprachindex!A:Z,Info!$O$6,FALSE)</f>
        <v>Jet-Lüfter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lfm                (=0 STK)</v>
      </c>
      <c r="Q45" s="191" t="str">
        <f>ROUNDUP($A45/3,0)*3 &amp;" " &amp; Formeln!$A$112 &amp; "                " &amp; "(="&amp;ROUNDUP($A45/3,0) &amp; " " &amp;Formeln!$A$111 &amp; ")"</f>
        <v>0 lfm                (=0 STK)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STK</v>
      </c>
      <c r="C46" s="95"/>
      <c r="D46" s="95">
        <f t="shared" si="1"/>
        <v>0</v>
      </c>
      <c r="E46" s="250" t="str">
        <f>VLOOKUP("Jet-Lüfter-Vorkopf",Sprachindex!A:Z,Info!$O$6,FALSE)</f>
        <v>Jet-Lüfter-Vorkopf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"/>
      <c r="P46" s="191" t="str">
        <f>ROUNDUP($A46/2,0)*2 &amp;" " &amp; Formeln!$A$111</f>
        <v>0 STK</v>
      </c>
      <c r="Q46" s="191" t="str">
        <f>ROUNDUP($A46/1,0)*1 &amp;" " &amp; Formeln!$A$111</f>
        <v>0 STK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0" t="str">
        <f>VLOOKUP("Dichtschraube NIRO, 4,5x25",Sprachindex!A:Z,Info!$O$6,FALSE)</f>
        <v>Dichtschraube NIRO, 4,5x25</v>
      </c>
      <c r="F47" s="251"/>
      <c r="G47" s="251"/>
      <c r="H47" s="251"/>
      <c r="I47" s="251"/>
      <c r="J47" s="251"/>
      <c r="K47" s="257"/>
      <c r="L47" s="96" t="str">
        <f t="shared" si="0"/>
        <v/>
      </c>
      <c r="M47" s="97"/>
      <c r="O47" s="1"/>
      <c r="P47" s="191" t="str">
        <f>ROUNDUP($A47/200,0)*200 &amp;" " &amp; Formeln!$A$111</f>
        <v>0 STK</v>
      </c>
      <c r="Q47" s="191" t="str">
        <f>ROUNDUP($A47,0) &amp;" " &amp; Formeln!$A$111</f>
        <v>0 STK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0" t="str">
        <f>VLOOKUP("Dichtschraube NIRO",Sprachindex!A:Z,Info!$O$6,FALSE)</f>
        <v>Dichtschraube NIRO</v>
      </c>
      <c r="F48" s="251"/>
      <c r="G48" s="251"/>
      <c r="H48" s="252"/>
      <c r="I48" s="267"/>
      <c r="J48" s="267"/>
      <c r="K48" s="253"/>
      <c r="L48" s="96" t="str">
        <f t="shared" si="0"/>
        <v/>
      </c>
      <c r="M48" s="97"/>
      <c r="O48" s="1"/>
      <c r="P48" s="191" t="str">
        <f>ROUNDUP($A48/250,0)*250 &amp;" " &amp; Formeln!$A$111</f>
        <v>0 STK</v>
      </c>
      <c r="Q48" s="191" t="str">
        <f>ROUNDUP($A48,0) &amp;" " &amp; Formeln!$A$111</f>
        <v>0 STK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0" t="str">
        <f>VLOOKUP("Dichtschraube NIRO",Sprachindex!A:Z,Info!$O$6,FALSE)</f>
        <v>Dichtschraube NIRO</v>
      </c>
      <c r="F49" s="251"/>
      <c r="G49" s="251"/>
      <c r="H49" s="252"/>
      <c r="I49" s="267"/>
      <c r="J49" s="267"/>
      <c r="K49" s="253"/>
      <c r="L49" s="96" t="str">
        <f t="shared" si="0"/>
        <v/>
      </c>
      <c r="M49" s="97"/>
      <c r="O49" s="1"/>
      <c r="P49" s="191" t="str">
        <f>ROUNDUP($A49/100,0)*100 &amp;" " &amp; Formeln!$A$111</f>
        <v>0 STK</v>
      </c>
      <c r="Q49" s="191" t="str">
        <f>ROUNDUP($A49,0) &amp;" " &amp; Formeln!$A$111</f>
        <v>0 STK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0" t="str">
        <f>VLOOKUP("Froschmaullukenhaube",Sprachindex!A:Z,Info!$O$6,FALSE)</f>
        <v>Froschmaullukenhaube</v>
      </c>
      <c r="F50" s="251"/>
      <c r="G50" s="251"/>
      <c r="H50" s="251"/>
      <c r="I50" s="251"/>
      <c r="J50" s="251"/>
      <c r="K50" s="257"/>
      <c r="L50" s="96" t="str">
        <f t="shared" si="0"/>
        <v/>
      </c>
      <c r="M50" s="97"/>
      <c r="O50" s="1"/>
      <c r="P50" s="191" t="str">
        <f>ROUNDUP($A50/20,0)*20 &amp;" " &amp; Formeln!$A$111</f>
        <v>0 STK</v>
      </c>
      <c r="Q50" s="191" t="str">
        <f>ROUNDUP($A50,0) &amp;" " &amp; Formeln!$A$111</f>
        <v>0 STK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250" t="str">
        <f>VLOOKUP("Froschmaulluke stucco für Dachschindel 420 x 240 mm",Sprachindex!A:Z,Info!$O$6,FALSE)</f>
        <v>Froschmaulluke stucco für Dachschindel 420 x 240 mm</v>
      </c>
      <c r="F51" s="251"/>
      <c r="G51" s="251"/>
      <c r="H51" s="251"/>
      <c r="I51" s="251"/>
      <c r="J51" s="251"/>
      <c r="K51" s="257"/>
      <c r="L51" s="96" t="str">
        <f t="shared" si="0"/>
        <v/>
      </c>
      <c r="M51" s="97"/>
      <c r="O51" s="1"/>
      <c r="P51" s="191" t="str">
        <f>ROUNDUP($A51/15,0)*15 &amp;" " &amp; Formeln!$A$111</f>
        <v>0 STK</v>
      </c>
      <c r="Q51" s="191" t="str">
        <f>ROUNDUP($A51,0) &amp;" " &amp; Formeln!$A$111</f>
        <v>0 STK</v>
      </c>
      <c r="T51" s="46">
        <v>110130</v>
      </c>
      <c r="U51" s="46">
        <v>110131</v>
      </c>
      <c r="V51" s="46">
        <v>110132</v>
      </c>
      <c r="W51" s="46">
        <v>110133</v>
      </c>
      <c r="X51" s="46">
        <v>110134</v>
      </c>
      <c r="Y51" s="46">
        <v>110135</v>
      </c>
      <c r="Z51" s="46">
        <v>110136</v>
      </c>
      <c r="AA51" s="46">
        <v>110137</v>
      </c>
      <c r="AB51" s="46">
        <v>110138</v>
      </c>
      <c r="AD51" s="46">
        <v>110140</v>
      </c>
      <c r="AE51" s="46">
        <v>110141</v>
      </c>
      <c r="AF51" s="46">
        <v>110142</v>
      </c>
      <c r="AG51" s="46">
        <v>110143</v>
      </c>
      <c r="AH51" s="46">
        <v>110144</v>
      </c>
      <c r="AI51" s="46">
        <v>110145</v>
      </c>
      <c r="AJ51" s="46">
        <v>110146</v>
      </c>
      <c r="AK51" s="46">
        <v>110147</v>
      </c>
      <c r="AL51" s="46">
        <v>110148</v>
      </c>
      <c r="AM51" s="46">
        <v>110149</v>
      </c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v>545106</v>
      </c>
      <c r="E52" s="261" t="str">
        <f>VLOOKUP("Einfassung Vario, 120-600 mm, stucco",Sprachindex!A:Z,Info!$O$6,FALSE)</f>
        <v>Einfassung Vario, 120-600 mm, stucco</v>
      </c>
      <c r="F52" s="262"/>
      <c r="G52" s="262"/>
      <c r="H52" s="262"/>
      <c r="I52" s="262"/>
      <c r="J52" s="262"/>
      <c r="K52" s="263"/>
      <c r="L52" s="96" t="str">
        <f>IF($A52=0,"",IF($J52=Formeln!$A$27," ",IF($N$11=1,P52,Q52)))</f>
        <v/>
      </c>
      <c r="M52" s="97"/>
      <c r="O52" s="1"/>
      <c r="P52" s="191" t="str">
        <f>ROUNDUP($A52/15,0)*15 &amp;" " &amp; Formeln!$A$111</f>
        <v>0 STK</v>
      </c>
      <c r="Q52" s="191" t="str">
        <f>ROUNDUP($A52,0) &amp;" " &amp; Formeln!$A$111</f>
        <v>0 STK</v>
      </c>
      <c r="T52" s="46">
        <v>110130</v>
      </c>
      <c r="U52" s="46">
        <v>110131</v>
      </c>
      <c r="V52" s="46">
        <v>110132</v>
      </c>
      <c r="W52" s="46">
        <v>110133</v>
      </c>
      <c r="X52" s="46">
        <v>110134</v>
      </c>
      <c r="Y52" s="46">
        <v>110135</v>
      </c>
      <c r="Z52" s="46">
        <v>110136</v>
      </c>
      <c r="AA52" s="46">
        <v>110137</v>
      </c>
      <c r="AB52" s="46">
        <v>110138</v>
      </c>
      <c r="AD52" s="46">
        <v>110140</v>
      </c>
      <c r="AE52" s="46">
        <v>110141</v>
      </c>
      <c r="AF52" s="46">
        <v>110142</v>
      </c>
      <c r="AG52" s="46">
        <v>110143</v>
      </c>
      <c r="AH52" s="46">
        <v>110144</v>
      </c>
      <c r="AI52" s="46">
        <v>110145</v>
      </c>
      <c r="AJ52" s="46">
        <v>110146</v>
      </c>
      <c r="AK52" s="46">
        <v>110147</v>
      </c>
      <c r="AL52" s="46">
        <v>110148</v>
      </c>
      <c r="AM52" s="46">
        <v>110149</v>
      </c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v>545106</v>
      </c>
      <c r="E53" s="261" t="str">
        <f>VLOOKUP("Einfassung Vario, 600-1.020 mm, stucco",Sprachindex!A:Z,Info!$O$6,FALSE)</f>
        <v>Einfassung Vario, 600-1.020 mm, stucco</v>
      </c>
      <c r="F53" s="262"/>
      <c r="G53" s="262"/>
      <c r="H53" s="262"/>
      <c r="I53" s="262"/>
      <c r="J53" s="262"/>
      <c r="K53" s="263"/>
      <c r="L53" s="96" t="str">
        <f>IF($A53=0,"",IF($J53=Formeln!$A$27," ",IF($N$11=1,P53,Q53)))</f>
        <v/>
      </c>
      <c r="M53" s="97"/>
      <c r="O53" s="1"/>
      <c r="P53" s="191" t="str">
        <f>ROUNDUP($A53/15,0)*15 &amp;" " &amp; Formeln!$A$111</f>
        <v>0 STK</v>
      </c>
      <c r="Q53" s="191" t="str">
        <f>ROUNDUP($A53,0) &amp;" " &amp; Formeln!$A$111</f>
        <v>0 STK</v>
      </c>
      <c r="T53" s="46">
        <v>110130</v>
      </c>
      <c r="U53" s="46">
        <v>110131</v>
      </c>
      <c r="V53" s="46">
        <v>110132</v>
      </c>
      <c r="W53" s="46">
        <v>110133</v>
      </c>
      <c r="X53" s="46">
        <v>110134</v>
      </c>
      <c r="Y53" s="46">
        <v>110135</v>
      </c>
      <c r="Z53" s="46">
        <v>110136</v>
      </c>
      <c r="AA53" s="46">
        <v>110137</v>
      </c>
      <c r="AB53" s="46">
        <v>110138</v>
      </c>
      <c r="AD53" s="46">
        <v>110140</v>
      </c>
      <c r="AE53" s="46">
        <v>110141</v>
      </c>
      <c r="AF53" s="46">
        <v>110142</v>
      </c>
      <c r="AG53" s="46">
        <v>110143</v>
      </c>
      <c r="AH53" s="46">
        <v>110144</v>
      </c>
      <c r="AI53" s="46">
        <v>110145</v>
      </c>
      <c r="AJ53" s="46">
        <v>110146</v>
      </c>
      <c r="AK53" s="46">
        <v>110147</v>
      </c>
      <c r="AL53" s="46">
        <v>110148</v>
      </c>
      <c r="AM53" s="46">
        <v>110149</v>
      </c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E54" s="261" t="str">
        <f>VLOOKUP("Dachausstiegsluke, 600x600mm",Sprachindex!A:Z,Info!$O$6,FALSE)</f>
        <v>Dachausstiegsluke, 600x600mm</v>
      </c>
      <c r="F54" s="262"/>
      <c r="G54" s="262"/>
      <c r="H54" s="262"/>
      <c r="I54" s="262"/>
      <c r="J54" s="262"/>
      <c r="K54" s="263"/>
      <c r="L54" s="96" t="str">
        <f t="shared" si="0"/>
        <v/>
      </c>
      <c r="M54" s="97"/>
      <c r="O54" s="1"/>
      <c r="P54" s="191" t="str">
        <f>ROUNDUP($A54,0) &amp;" " &amp; Formeln!$A$111</f>
        <v>0 STK</v>
      </c>
      <c r="Q54" s="191" t="str">
        <f>ROUNDUP($A54,0) &amp;" " &amp; Formeln!$A$111</f>
        <v>0 STK</v>
      </c>
      <c r="T54" s="46">
        <v>110020</v>
      </c>
      <c r="U54" s="46">
        <v>110021</v>
      </c>
      <c r="V54" s="46">
        <v>110022</v>
      </c>
      <c r="W54" s="46">
        <v>110023</v>
      </c>
      <c r="X54" s="46">
        <v>110024</v>
      </c>
      <c r="Y54" s="46">
        <v>110025</v>
      </c>
      <c r="Z54" s="46">
        <v>110026</v>
      </c>
      <c r="AA54" s="46">
        <v>110027</v>
      </c>
      <c r="AB54" s="46">
        <v>110028</v>
      </c>
      <c r="AC54" s="46"/>
      <c r="AD54" s="46">
        <v>110030</v>
      </c>
      <c r="AE54" s="46">
        <v>110031</v>
      </c>
      <c r="AF54" s="46">
        <v>110032</v>
      </c>
      <c r="AG54" s="46">
        <v>110033</v>
      </c>
      <c r="AH54" s="46">
        <v>110034</v>
      </c>
      <c r="AI54" s="46">
        <v>110035</v>
      </c>
      <c r="AJ54" s="46">
        <v>110036</v>
      </c>
      <c r="AK54" s="46">
        <v>110037</v>
      </c>
      <c r="AL54" s="46">
        <v>110038</v>
      </c>
      <c r="AM54" s="46">
        <v>110039</v>
      </c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>IF(J55=Formeln!$A$28,AN55,IF(J55=Formeln!$A$29,BI55,IF(J55=Formeln!$A$30,CD55,IF(J55=Formeln!$A$31,CY55,IF(J55=Formeln!$A$32,DT55,IF(J55=Formeln!$A$33,EO55,IF(J55=Formeln!$A$34,FJ55,IF(J55=Formeln!$A$35,GE55,IF(J55=Formeln!$A$36,GZ55,IF(J55=Formeln!$A$37,HU55,IF(J55=Formeln!$A$38,IP55,IF(J55=Formeln!$A$39,JK55,IF(J55=Formeln!$A$40,KF55,IF(J55=Formeln!$A$41,LA55,IF(J55=Formeln!$A$42,LV55,IF(J55=Formeln!$A$43,MQ55,IF(J55=Formeln!$A$44,NL55,IF(J55=Formeln!$A$45,OG55,IF(J55=Formeln!$A$46,PB55,IF(J55=Formeln!$A$47,PW55,IF(J55=Formeln!$A$48,QR55,0)))))))))))))))))))))</f>
        <v>0</v>
      </c>
      <c r="E55" s="250" t="str">
        <f>VLOOKUP("VELUX Einfassung",Sprachindex!A:Z,Info!$O$6,FALSE)</f>
        <v>VELUX Einfassung</v>
      </c>
      <c r="F55" s="251"/>
      <c r="G55" s="251"/>
      <c r="H55" s="251"/>
      <c r="I55" s="101" t="str">
        <f>VLOOKUP("Maße:",Sprachindex!A:Z,Info!$O$6,FALSE)</f>
        <v>Maße:</v>
      </c>
      <c r="J55" s="252"/>
      <c r="K55" s="253"/>
      <c r="L55" s="96" t="str">
        <f>IF($A55=0,"",IF($J55=Formeln!$A$27," ",IF($N$11=1,P55,Q55)))</f>
        <v/>
      </c>
      <c r="M55" s="97"/>
      <c r="O55" s="1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/>
      <c r="U55" s="50"/>
      <c r="V55" s="50"/>
      <c r="W55" s="50"/>
      <c r="X55" s="50"/>
      <c r="Y55" s="50"/>
      <c r="Z55" s="50"/>
      <c r="AA55" s="50"/>
      <c r="AB55" s="50"/>
      <c r="AD55" s="50">
        <v>111100</v>
      </c>
      <c r="AE55" s="50">
        <v>111101</v>
      </c>
      <c r="AF55" s="50">
        <v>111102</v>
      </c>
      <c r="AG55" s="50">
        <v>111103</v>
      </c>
      <c r="AH55" s="50">
        <v>111104</v>
      </c>
      <c r="AI55" s="50">
        <v>111105</v>
      </c>
      <c r="AJ55" s="50">
        <v>111106</v>
      </c>
      <c r="AK55" s="50">
        <v>111107</v>
      </c>
      <c r="AL55" s="50">
        <v>111108</v>
      </c>
      <c r="AM55" s="229">
        <v>111109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51"/>
      <c r="AP55" s="50"/>
      <c r="AQ55" s="50"/>
      <c r="AR55" s="50"/>
      <c r="AS55" s="50"/>
      <c r="AT55" s="50"/>
      <c r="AU55" s="50"/>
      <c r="AV55" s="50"/>
      <c r="AW55" s="50"/>
      <c r="AY55" s="50">
        <v>111100</v>
      </c>
      <c r="AZ55" s="50">
        <v>111101</v>
      </c>
      <c r="BA55" s="50">
        <v>111102</v>
      </c>
      <c r="BB55" s="50">
        <v>111103</v>
      </c>
      <c r="BC55" s="50">
        <v>111104</v>
      </c>
      <c r="BD55" s="50">
        <v>111105</v>
      </c>
      <c r="BE55" s="50">
        <v>111106</v>
      </c>
      <c r="BF55" s="50">
        <v>111107</v>
      </c>
      <c r="BG55" s="50">
        <v>111108</v>
      </c>
      <c r="BH55" s="229">
        <v>111109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51"/>
      <c r="BK55" s="50"/>
      <c r="BL55" s="50"/>
      <c r="BM55" s="50"/>
      <c r="BN55" s="50"/>
      <c r="BO55" s="50"/>
      <c r="BP55" s="50"/>
      <c r="BQ55" s="50"/>
      <c r="BR55" s="50"/>
      <c r="BT55" s="50">
        <v>111100</v>
      </c>
      <c r="BU55" s="50">
        <v>111101</v>
      </c>
      <c r="BV55" s="50">
        <v>111102</v>
      </c>
      <c r="BW55" s="50">
        <v>111103</v>
      </c>
      <c r="BX55" s="50">
        <v>111104</v>
      </c>
      <c r="BY55" s="50">
        <v>111105</v>
      </c>
      <c r="BZ55" s="50">
        <v>111106</v>
      </c>
      <c r="CA55" s="50">
        <v>111107</v>
      </c>
      <c r="CB55" s="50">
        <v>111108</v>
      </c>
      <c r="CC55" s="229">
        <v>111109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51"/>
      <c r="CF55" s="46"/>
      <c r="CG55" s="46"/>
      <c r="CH55" s="46"/>
      <c r="CI55" s="46"/>
      <c r="CJ55" s="46"/>
      <c r="CK55" s="46"/>
      <c r="CL55" s="46"/>
      <c r="CM55" s="46"/>
      <c r="CO55" s="46">
        <v>111120</v>
      </c>
      <c r="CP55" s="46">
        <v>111121</v>
      </c>
      <c r="CQ55" s="46">
        <v>111122</v>
      </c>
      <c r="CR55" s="46">
        <v>111123</v>
      </c>
      <c r="CS55" s="46">
        <v>111124</v>
      </c>
      <c r="CT55" s="46">
        <v>111125</v>
      </c>
      <c r="CU55" s="46">
        <v>111126</v>
      </c>
      <c r="CV55" s="46">
        <v>111127</v>
      </c>
      <c r="CW55" s="46">
        <v>111128</v>
      </c>
      <c r="CX55" s="229">
        <v>111129</v>
      </c>
      <c r="CY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CZ55" s="51"/>
      <c r="DA55" s="46"/>
      <c r="DB55" s="46"/>
      <c r="DC55" s="46"/>
      <c r="DD55" s="46"/>
      <c r="DE55" s="46"/>
      <c r="DF55" s="46"/>
      <c r="DG55" s="46"/>
      <c r="DH55" s="46"/>
      <c r="DJ55" s="46">
        <v>111120</v>
      </c>
      <c r="DK55" s="46">
        <v>111121</v>
      </c>
      <c r="DL55" s="46">
        <v>111122</v>
      </c>
      <c r="DM55" s="46">
        <v>111123</v>
      </c>
      <c r="DN55" s="46">
        <v>111124</v>
      </c>
      <c r="DO55" s="46">
        <v>111125</v>
      </c>
      <c r="DP55" s="46">
        <v>111126</v>
      </c>
      <c r="DQ55" s="46">
        <v>111127</v>
      </c>
      <c r="DR55" s="46">
        <v>111128</v>
      </c>
      <c r="DS55" s="229">
        <v>111129</v>
      </c>
      <c r="DT55" s="52">
        <f>IF(AND($N$9=2,$N$21=1),CZ55,IF(AND($N$9=2,$N$21=4),DA55,IF(AND($N$9=2,$N$21=5),DB55,IF(AND($N$9=2,$N$21=11),DC55,IF(AND($N$9=2,$N$21=7),DD55,IF(AND($N$9=2,$N$21=3),DE55,IF(AND($N$9=2,$N$21=6),DF55,IF(AND($N$9=2,$N$21=9),DG55,IF(AND($N$9=2,$N$21=2),DH55,IF(AND($N$9=2,$N$21=8),DI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51"/>
      <c r="DV55" s="46"/>
      <c r="DW55" s="46"/>
      <c r="DX55" s="46"/>
      <c r="DY55" s="46"/>
      <c r="DZ55" s="46"/>
      <c r="EA55" s="46"/>
      <c r="EB55" s="46"/>
      <c r="EC55" s="46"/>
      <c r="EE55" s="46">
        <v>111120</v>
      </c>
      <c r="EF55" s="46">
        <v>111121</v>
      </c>
      <c r="EG55" s="46">
        <v>111122</v>
      </c>
      <c r="EH55" s="46">
        <v>111123</v>
      </c>
      <c r="EI55" s="46">
        <v>111124</v>
      </c>
      <c r="EJ55" s="46">
        <v>111125</v>
      </c>
      <c r="EK55" s="46">
        <v>111126</v>
      </c>
      <c r="EL55" s="46">
        <v>111127</v>
      </c>
      <c r="EM55" s="46">
        <v>111128</v>
      </c>
      <c r="EN55" s="229">
        <v>111129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51">
        <v>111170</v>
      </c>
      <c r="EQ55" s="46"/>
      <c r="ER55" s="46"/>
      <c r="ES55" s="46"/>
      <c r="ET55" s="46"/>
      <c r="EU55" s="46"/>
      <c r="EV55" s="46"/>
      <c r="EW55" s="46"/>
      <c r="EX55" s="46"/>
      <c r="EZ55" s="46">
        <v>111160</v>
      </c>
      <c r="FA55" s="46">
        <v>111161</v>
      </c>
      <c r="FB55" s="46">
        <v>111162</v>
      </c>
      <c r="FC55" s="46">
        <v>111163</v>
      </c>
      <c r="FD55" s="46">
        <v>111164</v>
      </c>
      <c r="FE55" s="46">
        <v>111165</v>
      </c>
      <c r="FF55" s="46">
        <v>111166</v>
      </c>
      <c r="FG55" s="46">
        <v>111167</v>
      </c>
      <c r="FH55" s="46">
        <v>111168</v>
      </c>
      <c r="FI55" s="229">
        <v>111169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51"/>
      <c r="FL55" s="46"/>
      <c r="FM55" s="46"/>
      <c r="FN55" s="46"/>
      <c r="FO55" s="46"/>
      <c r="FP55" s="46"/>
      <c r="FQ55" s="46"/>
      <c r="FR55" s="46"/>
      <c r="FS55" s="46"/>
      <c r="FU55" s="46">
        <v>111160</v>
      </c>
      <c r="FV55" s="46">
        <v>111161</v>
      </c>
      <c r="FW55" s="46">
        <v>111162</v>
      </c>
      <c r="FX55" s="46">
        <v>111163</v>
      </c>
      <c r="FY55" s="46">
        <v>111164</v>
      </c>
      <c r="FZ55" s="46">
        <v>111165</v>
      </c>
      <c r="GA55" s="46">
        <v>111166</v>
      </c>
      <c r="GB55" s="46">
        <v>111167</v>
      </c>
      <c r="GC55" s="46">
        <v>111168</v>
      </c>
      <c r="GD55" s="229">
        <v>111169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F55" s="51"/>
      <c r="GG55" s="46"/>
      <c r="GH55" s="46"/>
      <c r="GI55" s="46"/>
      <c r="GJ55" s="46"/>
      <c r="GK55" s="46"/>
      <c r="GL55" s="46"/>
      <c r="GM55" s="46"/>
      <c r="GN55" s="46"/>
      <c r="GP55" s="46">
        <v>111160</v>
      </c>
      <c r="GQ55" s="46">
        <v>111161</v>
      </c>
      <c r="GR55" s="46">
        <v>111162</v>
      </c>
      <c r="GS55" s="46">
        <v>111163</v>
      </c>
      <c r="GT55" s="46">
        <v>111164</v>
      </c>
      <c r="GU55" s="46">
        <v>111165</v>
      </c>
      <c r="GV55" s="46">
        <v>111166</v>
      </c>
      <c r="GW55" s="46">
        <v>111167</v>
      </c>
      <c r="GX55" s="46">
        <v>111168</v>
      </c>
      <c r="GY55" s="230">
        <v>111169</v>
      </c>
      <c r="GZ55" s="52">
        <f>IF(AND($N$9=2,$N$21=1),GF55,IF(AND($N$9=2,$N$21=4),GG55,IF(AND($N$9=2,$N$21=5),GH55,IF(AND($N$9=2,$N$21=11),GI55,IF(AND($N$9=2,$N$21=7),GJ55,IF(AND($N$9=2,$N$21=3),GK55,IF(AND($N$9=2,$N$21=6),GL55,IF(AND($N$9=2,$N$21=9),GM55,IF(AND($N$9=2,$N$21=2),GN55,IF(AND($N$9=2,$N$21=8),GO55,IF(AND($N$9=1,$N$21=1),GP55,IF(AND($N$9=1,$N$21=1),GP55,IF(AND($N$9=1,$N$21=4),GQ55,IF(AND($N$9=1,$N$21=5),GR55,IF(AND($N$9=1,$N$21=11),GS55,IF(AND($N$9=1,$N$21=7),GT55,IF(AND($N$9=1,$N$21=3),GU55,IF(AND($N$9=1,$N$21=6),GV55,IF(AND($N$9=1,$N$21=9),GW55,IF(AND($N$9=1,$N$21=2),GX55,IF(AND($N$9=1,$N$21=8),GY55,0)))))))))))))))))))))</f>
        <v>0</v>
      </c>
      <c r="HA55" s="51"/>
      <c r="HB55" s="46"/>
      <c r="HC55" s="46"/>
      <c r="HD55" s="46"/>
      <c r="HE55" s="46"/>
      <c r="HF55" s="46"/>
      <c r="HG55" s="46"/>
      <c r="HH55" s="46"/>
      <c r="HI55" s="46"/>
      <c r="HK55" s="46">
        <v>111280</v>
      </c>
      <c r="HL55" s="46">
        <v>111281</v>
      </c>
      <c r="HM55" s="46">
        <v>111282</v>
      </c>
      <c r="HN55" s="46">
        <v>111283</v>
      </c>
      <c r="HO55" s="46">
        <v>111284</v>
      </c>
      <c r="HP55" s="46">
        <v>111285</v>
      </c>
      <c r="HQ55" s="46">
        <v>111286</v>
      </c>
      <c r="HR55" s="46">
        <v>111287</v>
      </c>
      <c r="HS55" s="46">
        <v>111288</v>
      </c>
      <c r="HT55" s="230">
        <v>111289</v>
      </c>
      <c r="HU55" s="52">
        <f>IF(AND($N$9=2,$N$21=1),HA55,IF(AND($N$9=2,$N$21=4),HB55,IF(AND($N$9=2,$N$21=5),HC55,IF(AND($N$9=2,$N$21=11),HD55,IF(AND($N$9=2,$N$21=7),HE55,IF(AND($N$9=2,$N$21=3),HF55,IF(AND($N$9=2,$N$21=6),HG55,IF(AND($N$9=2,$N$21=9),HH55,IF(AND($N$9=2,$N$21=2),HI55,IF(AND($N$9=2,$N$21=8),HJ55,IF(AND($N$9=1,$N$21=1),HK55,IF(AND($N$9=1,$N$21=1),HK55,IF(AND($N$9=1,$N$21=4),HL55,IF(AND($N$9=1,$N$21=5),HM55,IF(AND($N$9=1,$N$21=11),HN55,IF(AND($N$9=1,$N$21=7),HO55,IF(AND($N$9=1,$N$21=3),HP55,IF(AND($N$9=1,$N$21=6),HQ55,IF(AND($N$9=1,$N$21=9),HR55,IF(AND($N$9=1,$N$21=2),HS55,IF(AND($N$9=1,$N$21=8),HT55,0)))))))))))))))))))))</f>
        <v>0</v>
      </c>
      <c r="HV55" s="51"/>
      <c r="HW55" s="46"/>
      <c r="HX55" s="46"/>
      <c r="HY55" s="46"/>
      <c r="HZ55" s="46"/>
      <c r="IA55" s="46"/>
      <c r="IB55" s="46"/>
      <c r="IC55" s="46"/>
      <c r="ID55" s="46"/>
      <c r="IF55" s="46">
        <v>111280</v>
      </c>
      <c r="IG55" s="46">
        <v>111281</v>
      </c>
      <c r="IH55" s="46">
        <v>111282</v>
      </c>
      <c r="II55" s="46">
        <v>111283</v>
      </c>
      <c r="IJ55" s="46">
        <v>111284</v>
      </c>
      <c r="IK55" s="46">
        <v>111285</v>
      </c>
      <c r="IL55" s="46">
        <v>111286</v>
      </c>
      <c r="IM55" s="46">
        <v>111287</v>
      </c>
      <c r="IN55" s="46">
        <v>111288</v>
      </c>
      <c r="IO55" s="230">
        <v>111289</v>
      </c>
      <c r="IP55" s="52">
        <f>IF(AND($N$9=2,$N$21=1),HV55,IF(AND($N$9=2,$N$21=4),HW55,IF(AND($N$9=2,$N$21=5),HX55,IF(AND($N$9=2,$N$21=11),HY55,IF(AND($N$9=2,$N$21=7),HZ55,IF(AND($N$9=2,$N$21=3),IA55,IF(AND($N$9=2,$N$21=6),IB55,IF(AND($N$9=2,$N$21=9),IC55,IF(AND($N$9=2,$N$21=2),ID55,IF(AND($N$9=2,$N$21=8),IE55,IF(AND($N$9=1,$N$21=1),IF55,IF(AND($N$9=1,$N$21=1),IF55,IF(AND($N$9=1,$N$21=4),IG55,IF(AND($N$9=1,$N$21=5),IH55,IF(AND($N$9=1,$N$21=11),II55,IF(AND($N$9=1,$N$21=7),IJ55,IF(AND($N$9=1,$N$21=3),IK55,IF(AND($N$9=1,$N$21=6),IL55,IF(AND($N$9=1,$N$21=9),IM55,IF(AND($N$9=1,$N$21=2),IN55,IF(AND($N$9=1,$N$21=8),IO55,0)))))))))))))))))))))</f>
        <v>0</v>
      </c>
      <c r="IQ55" s="51"/>
      <c r="IR55" s="46"/>
      <c r="IS55" s="46"/>
      <c r="IT55" s="46"/>
      <c r="IU55" s="46"/>
      <c r="IV55" s="46"/>
      <c r="IW55" s="46"/>
      <c r="IX55" s="46"/>
      <c r="IY55" s="46"/>
      <c r="JA55" s="46">
        <v>111180</v>
      </c>
      <c r="JB55" s="46">
        <v>111181</v>
      </c>
      <c r="JC55" s="46">
        <v>111182</v>
      </c>
      <c r="JD55" s="46">
        <v>111183</v>
      </c>
      <c r="JE55" s="46">
        <v>111184</v>
      </c>
      <c r="JF55" s="46">
        <v>111185</v>
      </c>
      <c r="JG55" s="46">
        <v>111186</v>
      </c>
      <c r="JH55" s="46">
        <v>111187</v>
      </c>
      <c r="JI55" s="46">
        <v>111188</v>
      </c>
      <c r="JJ55" s="230">
        <v>111189</v>
      </c>
      <c r="JK55" s="52">
        <f>IF(AND($N$9=2,$N$21=1),IQ55,IF(AND($N$9=2,$N$21=4),IR55,IF(AND($N$9=2,$N$21=5),IS55,IF(AND($N$9=2,$N$21=11),IT55,IF(AND($N$9=2,$N$21=7),IU55,IF(AND($N$9=2,$N$21=3),IV55,IF(AND($N$9=2,$N$21=6),IW55,IF(AND($N$9=2,$N$21=9),IX55,IF(AND($N$9=2,$N$21=2),IY55,IF(AND($N$9=2,$N$21=8),IZ55,IF(AND($N$9=1,$N$21=1),JA55,IF(AND($N$9=1,$N$21=1),JA55,IF(AND($N$9=1,$N$21=4),JB55,IF(AND($N$9=1,$N$21=5),JC55,IF(AND($N$9=1,$N$21=11),JD55,IF(AND($N$9=1,$N$21=7),JE55,IF(AND($N$9=1,$N$21=3),JF55,IF(AND($N$9=1,$N$21=6),JG55,IF(AND($N$9=1,$N$21=9),JH55,IF(AND($N$9=1,$N$21=2),JI55,IF(AND($N$9=1,$N$21=8),JJ55,0)))))))))))))))))))))</f>
        <v>0</v>
      </c>
      <c r="JL55" s="51"/>
      <c r="JM55" s="46"/>
      <c r="JN55" s="46"/>
      <c r="JO55" s="46"/>
      <c r="JP55" s="46"/>
      <c r="JQ55" s="46"/>
      <c r="JR55" s="46"/>
      <c r="JS55" s="46"/>
      <c r="JT55" s="46"/>
      <c r="JV55" s="46">
        <v>111180</v>
      </c>
      <c r="JW55" s="46">
        <v>111181</v>
      </c>
      <c r="JX55" s="46">
        <v>111182</v>
      </c>
      <c r="JY55" s="46">
        <v>111183</v>
      </c>
      <c r="JZ55" s="46">
        <v>111184</v>
      </c>
      <c r="KA55" s="46">
        <v>111185</v>
      </c>
      <c r="KB55" s="46">
        <v>111186</v>
      </c>
      <c r="KC55" s="46">
        <v>111187</v>
      </c>
      <c r="KD55" s="46">
        <v>111188</v>
      </c>
      <c r="KE55" s="230">
        <v>111189</v>
      </c>
      <c r="KF55" s="52">
        <f>IF(AND($N$9=2,$N$21=1),JL55,IF(AND($N$9=2,$N$21=4),JM55,IF(AND($N$9=2,$N$21=5),JN55,IF(AND($N$9=2,$N$21=11),JO55,IF(AND($N$9=2,$N$21=7),JP55,IF(AND($N$9=2,$N$21=3),JQ55,IF(AND($N$9=2,$N$21=6),JR55,IF(AND($N$9=2,$N$21=9),JS55,IF(AND($N$9=2,$N$21=2),JT55,IF(AND($N$9=2,$N$21=8),JU55,IF(AND($N$9=1,$N$21=1),JV55,IF(AND($N$9=1,$N$21=1),JV55,IF(AND($N$9=1,$N$21=4),JW55,IF(AND($N$9=1,$N$21=5),JX55,IF(AND($N$9=1,$N$21=11),JY55,IF(AND($N$9=1,$N$21=7),JZ55,IF(AND($N$9=1,$N$21=3),KA55,IF(AND($N$9=1,$N$21=6),KB55,IF(AND($N$9=1,$N$21=9),KC55,IF(AND($N$9=1,$N$21=2),KD55,IF(AND($N$9=1,$N$21=8),KE55,0)))))))))))))))))))))</f>
        <v>0</v>
      </c>
      <c r="KG55" s="51"/>
      <c r="KH55" s="46"/>
      <c r="KI55" s="46"/>
      <c r="KJ55" s="46"/>
      <c r="KK55" s="46"/>
      <c r="KL55" s="46"/>
      <c r="KM55" s="46"/>
      <c r="KN55" s="46"/>
      <c r="KO55" s="46"/>
      <c r="KQ55" s="46">
        <v>111180</v>
      </c>
      <c r="KR55" s="46">
        <v>111181</v>
      </c>
      <c r="KS55" s="46">
        <v>111182</v>
      </c>
      <c r="KT55" s="46">
        <v>111183</v>
      </c>
      <c r="KU55" s="46">
        <v>111184</v>
      </c>
      <c r="KV55" s="46">
        <v>111185</v>
      </c>
      <c r="KW55" s="46">
        <v>111186</v>
      </c>
      <c r="KX55" s="46">
        <v>111187</v>
      </c>
      <c r="KY55" s="46">
        <v>111188</v>
      </c>
      <c r="KZ55" s="230">
        <v>111189</v>
      </c>
      <c r="LA55" s="52">
        <f>IF(AND($N$9=2,$N$21=1),KG55,IF(AND($N$9=2,$N$21=4),KH55,IF(AND($N$9=2,$N$21=5),KI55,IF(AND($N$9=2,$N$21=11),KJ55,IF(AND($N$9=2,$N$21=7),KK55,IF(AND($N$9=2,$N$21=3),KL55,IF(AND($N$9=2,$N$21=6),KM55,IF(AND($N$9=2,$N$21=9),KN55,IF(AND($N$9=2,$N$21=2),KO55,IF(AND($N$9=2,$N$21=8),KP55,IF(AND($N$9=1,$N$21=1),KQ55,IF(AND($N$9=1,$N$21=1),KQ55,IF(AND($N$9=1,$N$21=4),KR55,IF(AND($N$9=1,$N$21=5),KS55,IF(AND($N$9=1,$N$21=11),KT55,IF(AND($N$9=1,$N$21=7),KU55,IF(AND($N$9=1,$N$21=3),KV55,IF(AND($N$9=1,$N$21=6),KW55,IF(AND($N$9=1,$N$21=9),KX55,IF(AND($N$9=1,$N$21=2),KY55,IF(AND($N$9=1,$N$21=8),KZ55,0)))))))))))))))))))))</f>
        <v>0</v>
      </c>
      <c r="LB55" s="51"/>
      <c r="LC55" s="46"/>
      <c r="LD55" s="46"/>
      <c r="LE55" s="46"/>
      <c r="LF55" s="46"/>
      <c r="LG55" s="46"/>
      <c r="LH55" s="46"/>
      <c r="LI55" s="46"/>
      <c r="LJ55" s="46"/>
      <c r="LL55" s="46">
        <v>111200</v>
      </c>
      <c r="LM55" s="46">
        <v>111201</v>
      </c>
      <c r="LN55" s="46">
        <v>111202</v>
      </c>
      <c r="LO55" s="46">
        <v>111203</v>
      </c>
      <c r="LP55" s="46">
        <v>111204</v>
      </c>
      <c r="LQ55" s="46">
        <v>111205</v>
      </c>
      <c r="LR55" s="46">
        <v>111206</v>
      </c>
      <c r="LS55" s="46">
        <v>111207</v>
      </c>
      <c r="LT55" s="46">
        <v>111208</v>
      </c>
      <c r="LU55" s="230">
        <v>111209</v>
      </c>
      <c r="LV55" s="52">
        <f>IF(AND($N$9=2,$N$21=1),LB55,IF(AND($N$9=2,$N$21=4),LC55,IF(AND($N$9=2,$N$21=5),LD55,IF(AND($N$9=2,$N$21=11),LE55,IF(AND($N$9=2,$N$21=7),LF55,IF(AND($N$9=2,$N$21=3),LG55,IF(AND($N$9=2,$N$21=6),LH55,IF(AND($N$9=2,$N$21=9),LI55,IF(AND($N$9=2,$N$21=2),LJ55,IF(AND($N$9=2,$N$21=8),LK55,IF(AND($N$9=1,$N$21=1),LL55,IF(AND($N$9=1,$N$21=1),LL55,IF(AND($N$9=1,$N$21=4),LM55,IF(AND($N$9=1,$N$21=5),LN55,IF(AND($N$9=1,$N$21=11),LO55,IF(AND($N$9=1,$N$21=7),LP55,IF(AND($N$9=1,$N$21=3),LQ55,IF(AND($N$9=1,$N$21=6),LR55,IF(AND($N$9=1,$N$21=9),LS55,IF(AND($N$9=1,$N$21=2),LT55,IF(AND($N$9=1,$N$21=8),LU55,0)))))))))))))))))))))</f>
        <v>0</v>
      </c>
      <c r="LW55" s="51"/>
      <c r="LX55" s="46"/>
      <c r="LY55" s="46"/>
      <c r="LZ55" s="46"/>
      <c r="MA55" s="46"/>
      <c r="MB55" s="46"/>
      <c r="MC55" s="46"/>
      <c r="MD55" s="46"/>
      <c r="ME55" s="46"/>
      <c r="MG55" s="46">
        <v>111220</v>
      </c>
      <c r="MH55" s="46">
        <v>111221</v>
      </c>
      <c r="MI55" s="46">
        <v>111222</v>
      </c>
      <c r="MJ55" s="46">
        <v>111223</v>
      </c>
      <c r="MK55" s="46">
        <v>111224</v>
      </c>
      <c r="ML55" s="46">
        <v>111225</v>
      </c>
      <c r="MM55" s="46">
        <v>111226</v>
      </c>
      <c r="MN55" s="46">
        <v>111227</v>
      </c>
      <c r="MO55" s="46">
        <v>111228</v>
      </c>
      <c r="MP55" s="230">
        <v>111229</v>
      </c>
      <c r="MQ55" s="52">
        <f>IF(AND($N$9=2,$N$21=1),LW55,IF(AND($N$9=2,$N$21=4),LX55,IF(AND($N$9=2,$N$21=5),LY55,IF(AND($N$9=2,$N$21=11),LZ55,IF(AND($N$9=2,$N$21=7),MA55,IF(AND($N$9=2,$N$21=3),MB55,IF(AND($N$9=2,$N$21=6),MC55,IF(AND($N$9=2,$N$21=9),MD55,IF(AND($N$9=2,$N$21=2),ME55,IF(AND($N$9=2,$N$21=8),MF55,IF(AND($N$9=1,$N$21=1),MG55,IF(AND($N$9=1,$N$21=1),MG55,IF(AND($N$9=1,$N$21=4),MH55,IF(AND($N$9=1,$N$21=5),MI55,IF(AND($N$9=1,$N$21=11),MJ55,IF(AND($N$9=1,$N$21=7),MK55,IF(AND($N$9=1,$N$21=3),ML55,IF(AND($N$9=1,$N$21=6),MM55,IF(AND($N$9=1,$N$21=9),MN55,IF(AND($N$9=1,$N$21=2),MO55,IF(AND($N$9=1,$N$21=8),MP55,0)))))))))))))))))))))</f>
        <v>0</v>
      </c>
      <c r="MR55" s="51"/>
      <c r="MS55" s="46"/>
      <c r="MT55" s="46"/>
      <c r="MU55" s="46"/>
      <c r="MV55" s="46"/>
      <c r="MW55" s="46"/>
      <c r="MX55" s="46"/>
      <c r="MY55" s="46"/>
      <c r="MZ55" s="46"/>
      <c r="NB55" s="46">
        <v>111220</v>
      </c>
      <c r="NC55" s="46">
        <v>111221</v>
      </c>
      <c r="ND55" s="46">
        <v>111222</v>
      </c>
      <c r="NE55" s="46">
        <v>111223</v>
      </c>
      <c r="NF55" s="46">
        <v>111224</v>
      </c>
      <c r="NG55" s="46">
        <v>111225</v>
      </c>
      <c r="NH55" s="46">
        <v>111226</v>
      </c>
      <c r="NI55" s="46">
        <v>111227</v>
      </c>
      <c r="NJ55" s="46">
        <v>111228</v>
      </c>
      <c r="NK55" s="230">
        <v>111229</v>
      </c>
      <c r="NL55" s="52">
        <f>IF(AND($N$9=2,$N$21=1),MR55,IF(AND($N$9=2,$N$21=4),MS55,IF(AND($N$9=2,$N$21=5),MT55,IF(AND($N$9=2,$N$21=11),MU55,IF(AND($N$9=2,$N$21=7),MV55,IF(AND($N$9=2,$N$21=3),MW55,IF(AND($N$9=2,$N$21=6),MX55,IF(AND($N$9=2,$N$21=9),MY55,IF(AND($N$9=2,$N$21=2),MZ55,IF(AND($N$9=2,$N$21=8),NA55,IF(AND($N$9=1,$N$21=1),NB55,IF(AND($N$9=1,$N$21=1),NB55,IF(AND($N$9=1,$N$21=4),NC55,IF(AND($N$9=1,$N$21=5),ND55,IF(AND($N$9=1,$N$21=11),NE55,IF(AND($N$9=1,$N$21=7),NF55,IF(AND($N$9=1,$N$21=3),NG55,IF(AND($N$9=1,$N$21=6),NH55,IF(AND($N$9=1,$N$21=9),NI55,IF(AND($N$9=1,$N$21=2),NJ55,IF(AND($N$9=1,$N$21=8),NK55,0)))))))))))))))))))))</f>
        <v>0</v>
      </c>
      <c r="NM55" s="51"/>
      <c r="NN55" s="46"/>
      <c r="NO55" s="46"/>
      <c r="NP55" s="46"/>
      <c r="NQ55" s="46"/>
      <c r="NR55" s="46"/>
      <c r="NS55" s="46"/>
      <c r="NT55" s="46"/>
      <c r="NU55" s="46"/>
      <c r="NW55" s="46">
        <v>111600</v>
      </c>
      <c r="NX55" s="46">
        <v>111601</v>
      </c>
      <c r="NY55" s="46">
        <v>111602</v>
      </c>
      <c r="NZ55" s="46">
        <v>111603</v>
      </c>
      <c r="OA55" s="46">
        <v>111604</v>
      </c>
      <c r="OB55" s="46">
        <v>111605</v>
      </c>
      <c r="OC55" s="46">
        <v>111606</v>
      </c>
      <c r="OD55" s="46">
        <v>111607</v>
      </c>
      <c r="OE55" s="46">
        <v>111608</v>
      </c>
      <c r="OF55" s="230">
        <v>111609</v>
      </c>
      <c r="OG55" s="52">
        <f>IF(AND($N$9=2,$N$21=1),NM55,IF(AND($N$9=2,$N$21=4),NN55,IF(AND($N$9=2,$N$21=5),NO55,IF(AND($N$9=2,$N$21=11),NP55,IF(AND($N$9=2,$N$21=7),NQ55,IF(AND($N$9=2,$N$21=3),NR55,IF(AND($N$9=2,$N$21=6),NS55,IF(AND($N$9=2,$N$21=9),NT55,IF(AND($N$9=2,$N$21=2),NU55,IF(AND($N$9=2,$N$21=8),NV55,IF(AND($N$9=1,$N$21=1),NW55,IF(AND($N$9=1,$N$21=1),NW55,IF(AND($N$9=1,$N$21=4),NX55,IF(AND($N$9=1,$N$21=5),NY55,IF(AND($N$9=1,$N$21=11),NZ55,IF(AND($N$9=1,$N$21=7),OA55,IF(AND($N$9=1,$N$21=3),OB55,IF(AND($N$9=1,$N$21=6),OC55,IF(AND($N$9=1,$N$21=9),OD55,IF(AND($N$9=1,$N$21=2),OE55,IF(AND($N$9=1,$N$21=8),OF55,0)))))))))))))))))))))</f>
        <v>0</v>
      </c>
      <c r="OH55" s="51"/>
      <c r="OI55" s="46"/>
      <c r="OJ55" s="46"/>
      <c r="OK55" s="46"/>
      <c r="OL55" s="46"/>
      <c r="OM55" s="46"/>
      <c r="ON55" s="46"/>
      <c r="OO55" s="46"/>
      <c r="OP55" s="46"/>
      <c r="OR55" s="46">
        <v>111240</v>
      </c>
      <c r="OS55" s="46">
        <v>111241</v>
      </c>
      <c r="OT55" s="46">
        <v>111242</v>
      </c>
      <c r="OU55" s="46">
        <v>111243</v>
      </c>
      <c r="OV55" s="46">
        <v>111244</v>
      </c>
      <c r="OW55" s="46">
        <v>111245</v>
      </c>
      <c r="OX55" s="46">
        <v>111246</v>
      </c>
      <c r="OY55" s="46">
        <v>111247</v>
      </c>
      <c r="OZ55" s="46">
        <v>111248</v>
      </c>
      <c r="PA55" s="230">
        <v>111249</v>
      </c>
      <c r="PB55" s="52">
        <f>IF(AND($N$9=2,$N$21=1),OH55,IF(AND($N$9=2,$N$21=4),OI55,IF(AND($N$9=2,$N$21=5),OJ55,IF(AND($N$9=2,$N$21=11),OK55,IF(AND($N$9=2,$N$21=7),OL55,IF(AND($N$9=2,$N$21=3),OM55,IF(AND($N$9=2,$N$21=6),ON55,IF(AND($N$9=2,$N$21=9),OO55,IF(AND($N$9=2,$N$21=2),OP55,IF(AND($N$9=2,$N$21=8),OQ55,IF(AND($N$9=1,$N$21=1),OR55,IF(AND($N$9=1,$N$21=1),OR55,IF(AND($N$9=1,$N$21=4),OS55,IF(AND($N$9=1,$N$21=5),OT55,IF(AND($N$9=1,$N$21=11),OU55,IF(AND($N$9=1,$N$21=7),OV55,IF(AND($N$9=1,$N$21=3),OW55,IF(AND($N$9=1,$N$21=6),OX55,IF(AND($N$9=1,$N$21=9),OY55,IF(AND($N$9=1,$N$21=2),OZ55,IF(AND($N$9=1,$N$21=8),PA55,0)))))))))))))))))))))</f>
        <v>0</v>
      </c>
      <c r="PC55" s="51"/>
      <c r="PD55" s="46"/>
      <c r="PE55" s="46"/>
      <c r="PF55" s="46"/>
      <c r="PG55" s="46"/>
      <c r="PH55" s="46"/>
      <c r="PI55" s="46"/>
      <c r="PJ55" s="46"/>
      <c r="PK55" s="46"/>
      <c r="PM55" s="46">
        <v>111240</v>
      </c>
      <c r="PN55" s="46">
        <v>111241</v>
      </c>
      <c r="PO55" s="46">
        <v>111242</v>
      </c>
      <c r="PP55" s="46">
        <v>111243</v>
      </c>
      <c r="PQ55" s="46">
        <v>111244</v>
      </c>
      <c r="PR55" s="46">
        <v>111245</v>
      </c>
      <c r="PS55" s="46">
        <v>111246</v>
      </c>
      <c r="PT55" s="46">
        <v>111247</v>
      </c>
      <c r="PU55" s="46">
        <v>111248</v>
      </c>
      <c r="PV55" s="230">
        <v>111249</v>
      </c>
      <c r="PW55" s="52">
        <f>IF(AND($N$9=2,$N$21=1),PC55,IF(AND($N$9=2,$N$21=4),PD55,IF(AND($N$9=2,$N$21=5),PE55,IF(AND($N$9=2,$N$21=11),PF55,IF(AND($N$9=2,$N$21=7),PG55,IF(AND($N$9=2,$N$21=3),PH55,IF(AND($N$9=2,$N$21=6),PI55,IF(AND($N$9=2,$N$21=9),PJ55,IF(AND($N$9=2,$N$21=2),PK55,IF(AND($N$9=2,$N$21=8),PL55,IF(AND($N$9=1,$N$21=1),PM55,IF(AND($N$9=1,$N$21=1),PM55,IF(AND($N$9=1,$N$21=4),PN55,IF(AND($N$9=1,$N$21=5),PO55,IF(AND($N$9=1,$N$21=11),PP55,IF(AND($N$9=1,$N$21=7),PQ55,IF(AND($N$9=1,$N$21=3),PR55,IF(AND($N$9=1,$N$21=6),PS55,IF(AND($N$9=1,$N$21=9),PT55,IF(AND($N$9=1,$N$21=2),PU55,IF(AND($N$9=1,$N$21=8),PV55,0)))))))))))))))))))))</f>
        <v>0</v>
      </c>
      <c r="PX55" s="51"/>
      <c r="PY55" s="46"/>
      <c r="PZ55" s="46"/>
      <c r="QA55" s="46"/>
      <c r="QB55" s="46"/>
      <c r="QC55" s="46"/>
      <c r="QD55" s="46"/>
      <c r="QE55" s="46"/>
      <c r="QF55" s="46"/>
      <c r="QH55" s="46">
        <v>111620</v>
      </c>
      <c r="QI55" s="46">
        <v>111621</v>
      </c>
      <c r="QJ55" s="46">
        <v>111622</v>
      </c>
      <c r="QK55" s="46">
        <v>111623</v>
      </c>
      <c r="QL55" s="46">
        <v>111624</v>
      </c>
      <c r="QM55" s="46">
        <v>111625</v>
      </c>
      <c r="QN55" s="46">
        <v>111626</v>
      </c>
      <c r="QO55" s="46">
        <v>111627</v>
      </c>
      <c r="QP55" s="46">
        <v>111628</v>
      </c>
      <c r="QQ55" s="230">
        <v>111629</v>
      </c>
      <c r="QR55" s="52">
        <f>IF(AND($N$9=2,$N$21=1),PX55,IF(AND($N$9=2,$N$21=4),PY55,IF(AND($N$9=2,$N$21=5),PZ55,IF(AND($N$9=2,$N$21=11),QA55,IF(AND($N$9=2,$N$21=7),QB55,IF(AND($N$9=2,$N$21=3),QC55,IF(AND($N$9=2,$N$21=6),QD55,IF(AND($N$9=2,$N$21=9),QE55,IF(AND($N$9=2,$N$21=2),QF55,IF(AND($N$9=2,$N$21=8),QG55,IF(AND($N$9=1,$N$21=1),QH55,IF(AND($N$9=1,$N$21=1),QH55,IF(AND($N$9=1,$N$21=4),QI55,IF(AND($N$9=1,$N$21=5),QJ55,IF(AND($N$9=1,$N$21=11),QK55,IF(AND($N$9=1,$N$21=7),QL55,IF(AND($N$9=1,$N$21=3),QM55,IF(AND($N$9=1,$N$21=6),QN55,IF(AND($N$9=1,$N$21=9),QO55,IF(AND($N$9=1,$N$21=2),QP55,IF(AND($N$9=1,$N$21=8),QQ55,0)))))))))))))))))))))</f>
        <v>0</v>
      </c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f>IF(OR(J56=Formeln!$A$51,J56=Formeln!$A$52,J56=Formeln!$A$53,J56=Formeln!$A$77,J56=Formeln!$A$78,J56=Formeln!$A$79),AN56,IF(OR(J56=Formeln!$A$54,J56=Formeln!$A$55,J56=Formeln!$A$56,J56=Formeln!$A$80,J56=Formeln!$A$81,J56=Formeln!$A$82),BI56,IF(OR(J56=Formeln!$A$57,J56=Formeln!$A$58,J56=Formeln!$A$59,J56=Formeln!$A$83,J56=Formeln!$A$84,J56=Formeln!$A$85),CD56,IF(OR(J56=Formeln!$A$60,J56=Formeln!$A$61,J56=Formeln!$A$86,J56=Formeln!$A$87),CY56,IF(OR(J56=Formeln!$A$62,J56=Formeln!$A$63,J56=Formeln!$A$64,J56=Formeln!$A$88,J56=Formeln!$A$89,J56=Formeln!$A$90),DT56,IF(OR(J56=Formeln!$A$65,J56=Formeln!$A$66,J56=Formeln!$A$91,J56=Formeln!$A$92),EO56,IF(OR(J56=Formeln!$A$67,J56=Formeln!$A$68,J56=Formeln!$A$69,J56=Formeln!$A$70,J56=Formeln!$A$71,J56=Formeln!$A$93,J56=Formeln!$A$94,J56=Formeln!$A$95,J56=Formeln!$A$96,J56=Formeln!$A$97),FJ56,IF(OR(J56=Formeln!$A$72,J56=Formeln!$A$73,J56=Formeln!$A$74,J56=Formeln!$A$98,J56=Formeln!$A$99,J56=Formeln!$A$100),GE56,0))))))))</f>
        <v>0</v>
      </c>
      <c r="E56" s="250" t="str">
        <f>VLOOKUP("ROTO Einfassung",Sprachindex!A:Z,Info!$O$6,FALSE)</f>
        <v>ROTO Einfassung</v>
      </c>
      <c r="F56" s="251"/>
      <c r="G56" s="251"/>
      <c r="H56" s="251"/>
      <c r="I56" s="101" t="str">
        <f>VLOOKUP("Maße:",Sprachindex!A:Z,Info!$O$6,FALSE)</f>
        <v>Maße:</v>
      </c>
      <c r="J56" s="252"/>
      <c r="K56" s="253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/>
      <c r="U56" s="46"/>
      <c r="V56" s="46"/>
      <c r="W56" s="46"/>
      <c r="X56" s="46"/>
      <c r="Y56" s="46"/>
      <c r="Z56" s="46"/>
      <c r="AA56" s="46"/>
      <c r="AB56" s="46"/>
      <c r="AD56" s="46">
        <v>111300</v>
      </c>
      <c r="AE56" s="46">
        <v>111301</v>
      </c>
      <c r="AF56" s="46">
        <v>111302</v>
      </c>
      <c r="AG56" s="46">
        <v>111303</v>
      </c>
      <c r="AH56" s="46">
        <v>111304</v>
      </c>
      <c r="AI56" s="46">
        <v>111305</v>
      </c>
      <c r="AJ56" s="46">
        <v>111306</v>
      </c>
      <c r="AK56" s="46">
        <v>111307</v>
      </c>
      <c r="AL56" s="46">
        <v>111308</v>
      </c>
      <c r="AM56" s="229">
        <v>111309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46">
        <v>111320</v>
      </c>
      <c r="AZ56" s="46">
        <v>111321</v>
      </c>
      <c r="BA56" s="46">
        <v>111322</v>
      </c>
      <c r="BB56" s="46">
        <v>111323</v>
      </c>
      <c r="BC56" s="46">
        <v>111324</v>
      </c>
      <c r="BD56" s="46">
        <v>111325</v>
      </c>
      <c r="BE56" s="46">
        <v>111326</v>
      </c>
      <c r="BF56" s="46">
        <v>111327</v>
      </c>
      <c r="BG56" s="46">
        <v>111328</v>
      </c>
      <c r="BH56" s="229">
        <v>111329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46">
        <v>111340</v>
      </c>
      <c r="BU56" s="46">
        <v>111341</v>
      </c>
      <c r="BV56" s="46">
        <v>111342</v>
      </c>
      <c r="BW56" s="46">
        <v>111343</v>
      </c>
      <c r="BX56" s="46">
        <v>111344</v>
      </c>
      <c r="BY56" s="46">
        <v>111345</v>
      </c>
      <c r="BZ56" s="46">
        <v>111346</v>
      </c>
      <c r="CA56" s="46">
        <v>111347</v>
      </c>
      <c r="CB56" s="46">
        <v>111348</v>
      </c>
      <c r="CC56" s="229">
        <v>111349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46">
        <v>111360</v>
      </c>
      <c r="CP56" s="46">
        <v>111361</v>
      </c>
      <c r="CQ56" s="46">
        <v>111362</v>
      </c>
      <c r="CR56" s="46">
        <v>111363</v>
      </c>
      <c r="CS56" s="46">
        <v>111364</v>
      </c>
      <c r="CT56" s="46">
        <v>111365</v>
      </c>
      <c r="CU56" s="46">
        <v>111366</v>
      </c>
      <c r="CV56" s="46">
        <v>111367</v>
      </c>
      <c r="CW56" s="46">
        <v>111368</v>
      </c>
      <c r="CX56" s="229">
        <v>111369</v>
      </c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DJ56" s="46">
        <v>111380</v>
      </c>
      <c r="DK56" s="46">
        <v>111381</v>
      </c>
      <c r="DL56" s="46">
        <v>111382</v>
      </c>
      <c r="DM56" s="46">
        <v>111383</v>
      </c>
      <c r="DN56" s="46">
        <v>111384</v>
      </c>
      <c r="DO56" s="46">
        <v>111385</v>
      </c>
      <c r="DP56" s="46">
        <v>111386</v>
      </c>
      <c r="DQ56" s="46">
        <v>111387</v>
      </c>
      <c r="DR56" s="46">
        <v>111388</v>
      </c>
      <c r="DS56" s="229">
        <v>111389</v>
      </c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46">
        <v>111400</v>
      </c>
      <c r="EF56" s="46">
        <v>111401</v>
      </c>
      <c r="EG56" s="46">
        <v>111402</v>
      </c>
      <c r="EH56" s="46">
        <v>111403</v>
      </c>
      <c r="EI56" s="46">
        <v>111404</v>
      </c>
      <c r="EJ56" s="46">
        <v>111405</v>
      </c>
      <c r="EK56" s="46">
        <v>111406</v>
      </c>
      <c r="EL56" s="46">
        <v>111407</v>
      </c>
      <c r="EM56" s="46">
        <v>111408</v>
      </c>
      <c r="EN56" s="229">
        <v>111409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46"/>
      <c r="EQ56" s="46"/>
      <c r="ER56" s="46"/>
      <c r="ES56" s="46"/>
      <c r="ET56" s="46"/>
      <c r="EU56" s="46"/>
      <c r="EV56" s="46"/>
      <c r="EW56" s="46"/>
      <c r="EX56" s="46"/>
      <c r="EZ56" s="46">
        <v>111420</v>
      </c>
      <c r="FA56" s="46">
        <v>111421</v>
      </c>
      <c r="FB56" s="46">
        <v>111422</v>
      </c>
      <c r="FC56" s="46">
        <v>111423</v>
      </c>
      <c r="FD56" s="46">
        <v>111424</v>
      </c>
      <c r="FE56" s="46">
        <v>111425</v>
      </c>
      <c r="FF56" s="46">
        <v>111426</v>
      </c>
      <c r="FG56" s="46">
        <v>111427</v>
      </c>
      <c r="FH56" s="46">
        <v>111428</v>
      </c>
      <c r="FI56" s="229">
        <v>111429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46"/>
      <c r="FL56" s="46"/>
      <c r="FM56" s="46"/>
      <c r="FN56" s="46"/>
      <c r="FO56" s="46"/>
      <c r="FP56" s="46"/>
      <c r="FQ56" s="46"/>
      <c r="FR56" s="46"/>
      <c r="FS56" s="46"/>
      <c r="FU56" s="46">
        <v>111440</v>
      </c>
      <c r="FV56" s="46">
        <v>111441</v>
      </c>
      <c r="FW56" s="46">
        <v>111442</v>
      </c>
      <c r="FX56" s="46">
        <v>111443</v>
      </c>
      <c r="FY56" s="46">
        <v>111444</v>
      </c>
      <c r="FZ56" s="46">
        <v>111445</v>
      </c>
      <c r="GA56" s="46">
        <v>111446</v>
      </c>
      <c r="GB56" s="46">
        <v>111447</v>
      </c>
      <c r="GC56" s="46">
        <v>111448</v>
      </c>
      <c r="GD56" s="229">
        <v>111449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Z56" s="52"/>
      <c r="HU56" s="52"/>
      <c r="IP56" s="52"/>
      <c r="JK56" s="52"/>
      <c r="KF56" s="52"/>
      <c r="LA56" s="52"/>
      <c r="LV56" s="52"/>
      <c r="MQ56" s="52"/>
      <c r="NL56" s="52"/>
      <c r="OG56" s="52"/>
      <c r="PB56" s="52"/>
      <c r="PW56" s="52"/>
      <c r="QR56" s="52"/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v>111700</v>
      </c>
      <c r="E57" s="250" t="str">
        <f>VLOOKUP("ROTO Einfassung-Q-Serie",Sprachindex!A:Z,Info!$O$6,FALSE)</f>
        <v>ROTO Einfassung-Q-Serie</v>
      </c>
      <c r="F57" s="251"/>
      <c r="G57" s="251"/>
      <c r="H57" s="251"/>
      <c r="I57" s="101" t="str">
        <f>VLOOKUP("Maße:",Sprachindex!A:Z,Info!$O$6,FALSE)</f>
        <v>Maße:</v>
      </c>
      <c r="J57" s="252"/>
      <c r="K57" s="253"/>
      <c r="L57" s="96" t="str">
        <f>IF($A57=0,"",IF($J57=Formeln!$A$49," ",IF($N$11=1,P57,Q57)))</f>
        <v/>
      </c>
      <c r="M57" s="97"/>
      <c r="O57" s="1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/>
      <c r="U57" s="46"/>
      <c r="V57" s="46"/>
      <c r="W57" s="46"/>
      <c r="X57" s="46"/>
      <c r="Y57" s="46"/>
      <c r="Z57" s="46"/>
      <c r="AA57" s="46"/>
      <c r="AB57" s="46"/>
      <c r="AD57" s="161"/>
      <c r="AE57" s="161"/>
      <c r="AF57" s="161"/>
      <c r="AG57" s="161"/>
      <c r="AH57" s="161"/>
      <c r="AI57" s="161"/>
      <c r="AJ57" s="161"/>
      <c r="AK57" s="161"/>
      <c r="AL57" s="161"/>
      <c r="AM57" s="231"/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57,0)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161"/>
      <c r="AZ57" s="161"/>
      <c r="BA57" s="161"/>
      <c r="BB57" s="161"/>
      <c r="BC57" s="161"/>
      <c r="BD57" s="161"/>
      <c r="BE57" s="161"/>
      <c r="BF57" s="161"/>
      <c r="BG57" s="161"/>
      <c r="BH57" s="231"/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57,0)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161"/>
      <c r="BU57" s="161"/>
      <c r="BV57" s="161"/>
      <c r="BW57" s="161"/>
      <c r="BX57" s="161"/>
      <c r="BY57" s="161"/>
      <c r="BZ57" s="161"/>
      <c r="CA57" s="161"/>
      <c r="CB57" s="161"/>
      <c r="CC57" s="231"/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57,0)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161"/>
      <c r="CP57" s="161"/>
      <c r="CQ57" s="161"/>
      <c r="CR57" s="161"/>
      <c r="CS57" s="161"/>
      <c r="CT57" s="161"/>
      <c r="CU57" s="161"/>
      <c r="CV57" s="161"/>
      <c r="CW57" s="161"/>
      <c r="CX57" s="231"/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57,0))))))))))))))))))))</f>
        <v>0</v>
      </c>
      <c r="DJ57" s="161"/>
      <c r="DK57" s="161"/>
      <c r="DL57" s="161"/>
      <c r="DM57" s="161"/>
      <c r="DN57" s="161"/>
      <c r="DO57" s="161"/>
      <c r="DP57" s="161"/>
      <c r="DQ57" s="161"/>
      <c r="DR57" s="161"/>
      <c r="DS57" s="231"/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57,0)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161"/>
      <c r="EF57" s="161"/>
      <c r="EG57" s="161"/>
      <c r="EH57" s="161"/>
      <c r="EI57" s="161"/>
      <c r="EJ57" s="161"/>
      <c r="EK57" s="161"/>
      <c r="EL57" s="161"/>
      <c r="EM57" s="161"/>
      <c r="EN57" s="231"/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57,0))))))))))))))))))))</f>
        <v>0</v>
      </c>
      <c r="GW57" s="160"/>
      <c r="HR57" s="160"/>
      <c r="IM57" s="160"/>
      <c r="JH57" s="160"/>
      <c r="KC57" s="160"/>
      <c r="KX57" s="160"/>
      <c r="LS57" s="160"/>
      <c r="MN57" s="160"/>
      <c r="NI57" s="160"/>
      <c r="OD57" s="160"/>
      <c r="OY57" s="160"/>
      <c r="PT57" s="160"/>
      <c r="QO57" s="160"/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f t="shared" ref="D58:D63" si="2">IF($N$21=1,T58,IF($N$21=4,U58,IF($N$21=5,V58,IF($N$21=11,W58,IF($N$21=7,X58,IF($N$21=3,Y58,IF($N$21=6,Z58,IF($N$21=9,AA58,IF($N$21=2,AB58,IF($N$21=8,AC58,0))))))))))</f>
        <v>0</v>
      </c>
      <c r="E58" s="250" t="str">
        <f>VLOOKUP("Einzeltritt",Sprachindex!A:Z,Info!$O$6,FALSE)</f>
        <v>Einzeltritt</v>
      </c>
      <c r="F58" s="251"/>
      <c r="G58" s="251"/>
      <c r="H58" s="251"/>
      <c r="I58" s="251"/>
      <c r="J58" s="251"/>
      <c r="K58" s="257"/>
      <c r="L58" s="96" t="str">
        <f t="shared" si="0"/>
        <v/>
      </c>
      <c r="M58" s="97"/>
      <c r="O58" s="1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>
        <v>120070</v>
      </c>
      <c r="U58" s="46">
        <v>120071</v>
      </c>
      <c r="V58" s="46">
        <v>120072</v>
      </c>
      <c r="W58" s="46">
        <v>120073</v>
      </c>
      <c r="X58" s="46">
        <v>120074</v>
      </c>
      <c r="Y58" s="46">
        <v>120075</v>
      </c>
      <c r="Z58" s="46">
        <v>120076</v>
      </c>
      <c r="AA58" s="46">
        <v>120077</v>
      </c>
      <c r="AB58" s="46">
        <v>120078</v>
      </c>
      <c r="AC58" s="46">
        <v>120079</v>
      </c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f>IF($N$21=1,T59,IF($N$21=4,U59,IF($N$21=5,V59,IF($N$21=11,W59,IF($N$21=7,X59,IF($N$21=3,Y59,IF($N$21=6,Z59,IF($N$21=9,AA59,IF($N$21=2,AB59,IF($N$21=8,AC59,0))))))))))</f>
        <v>0</v>
      </c>
      <c r="E59" s="250" t="str">
        <f>VLOOKUP("Laufstegstütze FT250, inkl. Zubehör",Sprachindex!A:Z,Info!$O$6,FALSE)</f>
        <v>Laufstegstütze FT250, inkl. Zubehör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9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>
        <v>120080</v>
      </c>
      <c r="U59" s="46">
        <v>120081</v>
      </c>
      <c r="V59" s="46">
        <v>120082</v>
      </c>
      <c r="W59" s="46">
        <v>120083</v>
      </c>
      <c r="X59" s="46">
        <v>120084</v>
      </c>
      <c r="Y59" s="46">
        <v>120085</v>
      </c>
      <c r="Z59" s="46">
        <v>120086</v>
      </c>
      <c r="AA59" s="46">
        <v>120087</v>
      </c>
      <c r="AB59" s="46">
        <v>120088</v>
      </c>
      <c r="AC59" s="46">
        <v>120089</v>
      </c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v>649304</v>
      </c>
      <c r="E60" s="250" t="str">
        <f>VLOOKUP("Laufstegstütze auf zwei Fussteilen, geprüft nach EN 516-1-B (360 mm)",Sprachindex!A:Z,Info!$O$6,FALSE)</f>
        <v>Laufstegstütze auf zwei Fussteilen, geprüft nach EN 516-1-B (360 mm)</v>
      </c>
      <c r="F60" s="251"/>
      <c r="G60" s="251"/>
      <c r="H60" s="251"/>
      <c r="I60" s="251"/>
      <c r="J60" s="251"/>
      <c r="K60" s="257"/>
      <c r="L60" s="96" t="str">
        <f t="shared" si="0"/>
        <v/>
      </c>
      <c r="M60" s="9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f t="shared" si="2"/>
        <v>0</v>
      </c>
      <c r="E61" s="250" t="str">
        <f>VLOOKUP("Laufsteg 250x1200mm, inkl. Befestigung ",Sprachindex!A:Z,Info!$O$6,FALSE)</f>
        <v xml:space="preserve">Laufsteg 250x1200mm, inkl. Befestigung 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9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46">
        <v>120030</v>
      </c>
      <c r="U61" s="46">
        <v>120031</v>
      </c>
      <c r="V61" s="46">
        <v>120032</v>
      </c>
      <c r="W61" s="46">
        <v>120033</v>
      </c>
      <c r="X61" s="46">
        <v>120034</v>
      </c>
      <c r="Y61" s="46">
        <v>120035</v>
      </c>
      <c r="Z61" s="46">
        <v>120036</v>
      </c>
      <c r="AA61" s="46">
        <v>120037</v>
      </c>
      <c r="AB61" s="46">
        <v>120038</v>
      </c>
      <c r="AC61" s="46">
        <v>120039</v>
      </c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 t="shared" si="2"/>
        <v>0</v>
      </c>
      <c r="E62" s="250" t="str">
        <f>VLOOKUP("Laufsteg 250x800mm, inkl. Befestigung ",Sprachindex!A:Z,Info!$O$6,FALSE)</f>
        <v xml:space="preserve">Laufsteg 250x800mm, inkl. Befestigung 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97"/>
      <c r="O62" s="1"/>
      <c r="P62" s="191" t="str">
        <f>ROUNDUP($A62,0) &amp;" " &amp; Formeln!$A$111</f>
        <v>0 STK</v>
      </c>
      <c r="Q62" s="191" t="str">
        <f>ROUNDUP($A62,0) &amp;" " &amp; Formeln!$A$111</f>
        <v>0 STK</v>
      </c>
      <c r="T62" s="46">
        <v>120020</v>
      </c>
      <c r="U62" s="46">
        <v>120021</v>
      </c>
      <c r="V62" s="46">
        <v>120022</v>
      </c>
      <c r="W62" s="46">
        <v>120023</v>
      </c>
      <c r="X62" s="46">
        <v>120024</v>
      </c>
      <c r="Y62" s="46">
        <v>120025</v>
      </c>
      <c r="Z62" s="46">
        <v>120026</v>
      </c>
      <c r="AA62" s="46">
        <v>120027</v>
      </c>
      <c r="AB62" s="46">
        <v>120028</v>
      </c>
      <c r="AC62" s="46">
        <v>121075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f t="shared" si="2"/>
        <v>0</v>
      </c>
      <c r="E63" s="250" t="str">
        <f>VLOOKUP("Laufsteg 250x600mm, inkl. Befestigung ",Sprachindex!A:Z,Info!$O$6,FALSE)</f>
        <v xml:space="preserve">Laufsteg 250x600mm, inkl. Befestigung 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97"/>
      <c r="O63" s="1"/>
      <c r="P63" s="191" t="str">
        <f>ROUNDUP($A63,0) &amp;" " &amp; Formeln!$A$111</f>
        <v>0 STK</v>
      </c>
      <c r="Q63" s="191" t="str">
        <f>ROUNDUP($A63,0) &amp;" " &amp; Formeln!$A$111</f>
        <v>0 STK</v>
      </c>
      <c r="T63" s="46">
        <v>120060</v>
      </c>
      <c r="U63" s="46">
        <v>120061</v>
      </c>
      <c r="V63" s="46">
        <v>120062</v>
      </c>
      <c r="W63" s="46">
        <v>120063</v>
      </c>
      <c r="X63" s="46">
        <v>120064</v>
      </c>
      <c r="Y63" s="46">
        <v>120065</v>
      </c>
      <c r="Z63" s="46">
        <v>120066</v>
      </c>
      <c r="AA63" s="46">
        <v>120067</v>
      </c>
      <c r="AB63" s="46">
        <v>120068</v>
      </c>
      <c r="AC63" s="46">
        <v>120069</v>
      </c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f>IF($N$21=1,T64,IF($N$21=4,U64,IF($N$21=5,V64,IF($N$21=11,W64,IF($N$21=7,X64,IF($N$21=3,Y64,IF($N$21=6,Z64,IF($N$21=9,AA64,IF($N$21=2,AB64,IF($N$21=8,AC64,0))))))))))</f>
        <v>0</v>
      </c>
      <c r="E64" s="250" t="str">
        <f>VLOOKUP("Laufsteg 250x420mm, inkl. Befestigung ",Sprachindex!A:Z,Info!$O$6,FALSE)</f>
        <v xml:space="preserve">Laufsteg 250x420mm, inkl. Befestigung 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97"/>
      <c r="O64" s="1"/>
      <c r="P64" s="191" t="str">
        <f>ROUNDUP($A64/4,0)*4 &amp;" " &amp; Formeln!$A$111</f>
        <v>0 STK</v>
      </c>
      <c r="Q64" s="191" t="str">
        <f>ROUNDUP($A64,0) &amp;" " &amp; Formeln!$A$111</f>
        <v>0 STK</v>
      </c>
      <c r="T64" s="46">
        <v>120010</v>
      </c>
      <c r="U64" s="46">
        <v>120011</v>
      </c>
      <c r="V64" s="46">
        <v>120012</v>
      </c>
      <c r="W64" s="46">
        <v>120013</v>
      </c>
      <c r="X64" s="46">
        <v>120014</v>
      </c>
      <c r="Y64" s="46">
        <v>120015</v>
      </c>
      <c r="Z64" s="46">
        <v>120016</v>
      </c>
      <c r="AA64" s="46">
        <v>120017</v>
      </c>
      <c r="AB64" s="46">
        <v>120018</v>
      </c>
      <c r="AC64" s="46">
        <v>120019</v>
      </c>
    </row>
    <row r="65" spans="1:39" ht="32.1" customHeight="1">
      <c r="A65" s="118"/>
      <c r="B65" s="96" t="str">
        <f>VLOOKUP("Stk",Sprachindex!A:Z,Info!$O$6,FALSE)</f>
        <v>STK</v>
      </c>
      <c r="C65" s="95"/>
      <c r="D65" s="95">
        <v>649305</v>
      </c>
      <c r="E65" s="250" t="str">
        <f>VLOOKUP("Laufsteg 360x800mm, inkl. Befestigung ",Sprachindex!A:Z,Info!$O$6,FALSE)</f>
        <v xml:space="preserve">Laufsteg 360x800mm, inkl. Befestigung </v>
      </c>
      <c r="F65" s="251"/>
      <c r="G65" s="251"/>
      <c r="H65" s="251"/>
      <c r="I65" s="251"/>
      <c r="J65" s="251"/>
      <c r="K65" s="257"/>
      <c r="L65" s="96" t="str">
        <f t="shared" si="0"/>
        <v/>
      </c>
      <c r="M65" s="97"/>
      <c r="O65" s="1"/>
      <c r="P65" s="191" t="str">
        <f>ROUNDUP($A65,0) &amp;" " &amp; Formeln!$A$111</f>
        <v>0 STK</v>
      </c>
      <c r="Q65" s="191" t="str">
        <f>ROUNDUP($A65,0) &amp;" " &amp; Formeln!$A$111</f>
        <v>0 STK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STK</v>
      </c>
      <c r="C66" s="95"/>
      <c r="D66" s="95">
        <v>649306</v>
      </c>
      <c r="E66" s="250" t="str">
        <f>VLOOKUP("Laufsteg 360x1200mm, inkl. Befestigung ",Sprachindex!A:Z,Info!$O$6,FALSE)</f>
        <v xml:space="preserve">Laufsteg 360x1200mm, inkl. Befestigung </v>
      </c>
      <c r="F66" s="251"/>
      <c r="G66" s="251"/>
      <c r="H66" s="251"/>
      <c r="I66" s="251"/>
      <c r="J66" s="251"/>
      <c r="K66" s="257"/>
      <c r="L66" s="96" t="str">
        <f t="shared" si="0"/>
        <v/>
      </c>
      <c r="M66" s="9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STK</v>
      </c>
      <c r="C67" s="95"/>
      <c r="D67" s="100">
        <v>649001</v>
      </c>
      <c r="E67" s="250" t="str">
        <f>VLOOKUP("Laufstegverbinder 250mm breit",Sprachindex!A:Z,Info!$O$6,FALSE)</f>
        <v>Laufstegverbinder 250mm breit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97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  <c r="T67" s="49" t="s">
        <v>29</v>
      </c>
      <c r="U67" s="49" t="s">
        <v>30</v>
      </c>
      <c r="V67" s="49" t="s">
        <v>31</v>
      </c>
      <c r="W67" s="49" t="s">
        <v>32</v>
      </c>
      <c r="X67" s="49" t="s">
        <v>33</v>
      </c>
      <c r="Y67" s="49" t="s">
        <v>34</v>
      </c>
      <c r="Z67" s="49" t="s">
        <v>35</v>
      </c>
      <c r="AA67" s="49" t="s">
        <v>36</v>
      </c>
      <c r="AB67" s="49" t="s">
        <v>37</v>
      </c>
      <c r="AC67" s="49" t="s">
        <v>38</v>
      </c>
      <c r="AD67" s="49" t="s">
        <v>29</v>
      </c>
      <c r="AE67" s="49" t="s">
        <v>30</v>
      </c>
      <c r="AF67" s="49" t="s">
        <v>31</v>
      </c>
      <c r="AG67" s="49" t="s">
        <v>32</v>
      </c>
      <c r="AH67" s="49" t="s">
        <v>33</v>
      </c>
      <c r="AI67" s="49" t="s">
        <v>34</v>
      </c>
      <c r="AJ67" s="49" t="s">
        <v>35</v>
      </c>
      <c r="AK67" s="49" t="s">
        <v>36</v>
      </c>
      <c r="AL67" s="49" t="s">
        <v>37</v>
      </c>
      <c r="AM67" s="49" t="s">
        <v>38</v>
      </c>
    </row>
    <row r="68" spans="1:39" ht="32.1" customHeight="1">
      <c r="A68" s="118"/>
      <c r="B68" s="96" t="str">
        <f>VLOOKUP("Stk",Sprachindex!A:Z,Info!$O$6,FALSE)</f>
        <v>STK</v>
      </c>
      <c r="C68" s="95"/>
      <c r="D68" s="100">
        <v>649008</v>
      </c>
      <c r="E68" s="250" t="str">
        <f>VLOOKUP("Laufstegverbinder 360mm breit",Sprachindex!A:Z,Info!$O$6,FALSE)</f>
        <v>Laufstegverbinder 360mm breit</v>
      </c>
      <c r="F68" s="251"/>
      <c r="G68" s="251"/>
      <c r="H68" s="251"/>
      <c r="I68" s="251"/>
      <c r="J68" s="251"/>
      <c r="K68" s="257"/>
      <c r="L68" s="96" t="str">
        <f t="shared" si="0"/>
        <v/>
      </c>
      <c r="M68" s="97"/>
      <c r="O68" s="1"/>
      <c r="P68" s="191" t="str">
        <f>ROUNDUP($A68,0) &amp;" " &amp; Formeln!$A$111</f>
        <v>0 STK</v>
      </c>
      <c r="Q68" s="191" t="str">
        <f>ROUNDUP($A68,0) &amp;" " &amp; Formeln!$A$111</f>
        <v>0 STK</v>
      </c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STK</v>
      </c>
      <c r="C69" s="98"/>
      <c r="D69" s="100">
        <v>635661</v>
      </c>
      <c r="E69" s="250" t="str">
        <f>VLOOKUP("Sicherheitsdachhaken nach EN 517 B, mit Tellerfüßen",Sprachindex!A:Z,Info!$O$6,FALSE)</f>
        <v>Sicherheitsdachhaken nach EN 517 B, mit Tellerfüßen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102"/>
      <c r="O69" s="1"/>
      <c r="P69" s="191" t="str">
        <f>ROUNDUP($A69,0) &amp;" " &amp; Formeln!$A$111</f>
        <v>0 STK</v>
      </c>
      <c r="Q69" s="191" t="str">
        <f>ROUNDUP($A69,0) &amp;" " &amp; Formeln!$A$111</f>
        <v>0 STK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95">
        <f t="shared" ref="D70:D75" si="3">IF($N$21=1,T70,IF($N$21=4,U70,IF($N$21=5,V70,IF($N$21=11,W70,IF($N$21=7,X70,IF($N$21=3,Y70,IF($N$21=6,Z70,IF($N$21=9,AA70,IF($N$21=2,AB70,IF($N$21=8,AC70,0))))))))))</f>
        <v>0</v>
      </c>
      <c r="E70" s="250" t="str">
        <f>VLOOKUP("Dachsicherheitshaken, nach DIN EN 517 B",Sprachindex!A:Z,Info!$O$6,FALSE)</f>
        <v>Dachsicherheitshaken, nach DIN EN 517 B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02"/>
      <c r="O70" s="1"/>
      <c r="P70" s="191" t="str">
        <f>ROUNDUP($A70/12,0)*12 &amp;" " &amp; Formeln!$A$111</f>
        <v>0 STK</v>
      </c>
      <c r="Q70" s="191" t="str">
        <f>ROUNDUP($A70,0) &amp;" " &amp; Formeln!$A$111</f>
        <v>0 STK</v>
      </c>
      <c r="T70" s="46">
        <v>120000</v>
      </c>
      <c r="U70" s="46">
        <v>120001</v>
      </c>
      <c r="V70" s="46">
        <v>120002</v>
      </c>
      <c r="W70" s="46">
        <v>120003</v>
      </c>
      <c r="X70" s="46">
        <v>120004</v>
      </c>
      <c r="Y70" s="46">
        <v>120005</v>
      </c>
      <c r="Z70" s="46">
        <v>120006</v>
      </c>
      <c r="AA70" s="46">
        <v>120007</v>
      </c>
      <c r="AB70" s="46">
        <v>120008</v>
      </c>
      <c r="AC70" s="46">
        <v>120009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si="3"/>
        <v>0</v>
      </c>
      <c r="E71" s="250" t="str">
        <f>VLOOKUP("Einfassungsplatte, zum Einfalzen",Sprachindex!A:Z,Info!$O$6,FALSE)</f>
        <v>Einfassungsplatte, zum Einfalzen</v>
      </c>
      <c r="F71" s="251"/>
      <c r="G71" s="251"/>
      <c r="H71" s="251"/>
      <c r="I71" s="251"/>
      <c r="J71" s="251"/>
      <c r="K71" s="257"/>
      <c r="L71" s="96" t="str">
        <f t="shared" ref="L71:L94" si="4">IF(A71=0,"",IF($N$11=1,P71,Q71))</f>
        <v/>
      </c>
      <c r="M71" s="102"/>
      <c r="O71" s="1"/>
      <c r="P71" s="191" t="str">
        <f>ROUNDUP($A71/5,0)*5 &amp;" " &amp; Formeln!$A$111</f>
        <v>0 STK</v>
      </c>
      <c r="Q71" s="191" t="str">
        <f>ROUNDUP($A71,0) &amp;" " &amp; Formeln!$A$111</f>
        <v>0 STK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3"/>
        <v>0</v>
      </c>
      <c r="E72" s="250" t="str">
        <f>VLOOKUP("Universaleinfassungsplatte, 2-teilig ",Sprachindex!A:Z,Info!$O$6,FALSE)</f>
        <v xml:space="preserve">Universaleinfassungsplatte, 2-teilig </v>
      </c>
      <c r="F72" s="251"/>
      <c r="G72" s="251"/>
      <c r="H72" s="251"/>
      <c r="I72" s="251"/>
      <c r="J72" s="251"/>
      <c r="K72" s="257"/>
      <c r="L72" s="96" t="str">
        <f t="shared" si="4"/>
        <v/>
      </c>
      <c r="M72" s="102"/>
      <c r="O72" s="1"/>
      <c r="P72" s="191" t="str">
        <f>ROUNDUP($A72,0) &amp;" " &amp; Formeln!$A$111</f>
        <v>0 STK</v>
      </c>
      <c r="Q72" s="191" t="str">
        <f>ROUNDUP($A72,0) &amp;" " &amp; Formeln!$A$111</f>
        <v>0 STK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3"/>
        <v>0</v>
      </c>
      <c r="E73" s="250" t="str">
        <f>VLOOKUP("Entlüftungshaube 100",Sprachindex!A:Z,Info!$O$6,FALSE)</f>
        <v>Entlüftungshaube 100</v>
      </c>
      <c r="F73" s="251"/>
      <c r="G73" s="251"/>
      <c r="H73" s="251"/>
      <c r="I73" s="251"/>
      <c r="J73" s="251"/>
      <c r="K73" s="257"/>
      <c r="L73" s="96" t="str">
        <f t="shared" si="4"/>
        <v/>
      </c>
      <c r="M73" s="102"/>
      <c r="O73" s="1"/>
      <c r="P73" s="191" t="str">
        <f>ROUNDUP($A73,0) &amp;" " &amp; Formeln!$A$111</f>
        <v>0 STK</v>
      </c>
      <c r="Q73" s="191" t="str">
        <f>ROUNDUP($A73,0) &amp;" " &amp; Formeln!$A$111</f>
        <v>0 STK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3"/>
        <v>0</v>
      </c>
      <c r="E74" s="250" t="str">
        <f>VLOOKUP("Entlüftungsrohr DM 100",Sprachindex!A:Z,Info!$O$6,FALSE)</f>
        <v>Entlüftungsrohr DM 100</v>
      </c>
      <c r="F74" s="251"/>
      <c r="G74" s="251"/>
      <c r="H74" s="251"/>
      <c r="I74" s="251"/>
      <c r="J74" s="251"/>
      <c r="K74" s="257"/>
      <c r="L74" s="96" t="str">
        <f t="shared" si="4"/>
        <v/>
      </c>
      <c r="M74" s="102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 t="shared" si="3"/>
        <v>0</v>
      </c>
      <c r="E75" s="250" t="str">
        <f>VLOOKUP("Entlüftungsrohr DM 120",Sprachindex!A:Z,Info!$O$6,FALSE)</f>
        <v>Entlüftungsrohr DM 120</v>
      </c>
      <c r="F75" s="251"/>
      <c r="G75" s="251"/>
      <c r="H75" s="251"/>
      <c r="I75" s="251"/>
      <c r="J75" s="251"/>
      <c r="K75" s="257"/>
      <c r="L75" s="96" t="str">
        <f t="shared" si="4"/>
        <v/>
      </c>
      <c r="M75" s="102"/>
      <c r="O75" s="1"/>
      <c r="P75" s="191" t="str">
        <f>ROUNDUP($A75,0) &amp;" " &amp; Formeln!$A$111</f>
        <v>0 STK</v>
      </c>
      <c r="Q75" s="191" t="str">
        <f>ROUNDUP($A75,0) &amp;" " &amp; Formeln!$A$111</f>
        <v>0 STK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100">
        <v>340943</v>
      </c>
      <c r="E76" s="250" t="str">
        <f>VLOOKUP("Faltmanschette 100",Sprachindex!A:Z,Info!$O$6,FALSE)</f>
        <v>Faltmanschette 100</v>
      </c>
      <c r="F76" s="251"/>
      <c r="G76" s="251"/>
      <c r="H76" s="251"/>
      <c r="I76" s="251"/>
      <c r="J76" s="251"/>
      <c r="K76" s="257"/>
      <c r="L76" s="96" t="str">
        <f t="shared" si="4"/>
        <v/>
      </c>
      <c r="M76" s="102"/>
      <c r="O76" s="1"/>
      <c r="P76" s="191" t="str">
        <f>ROUNDUP($A76,0) &amp;" " &amp; Formeln!$A$111</f>
        <v>0 STK</v>
      </c>
      <c r="Q76" s="191" t="str">
        <f>ROUNDUP($A76,0) &amp;" " &amp; Formeln!$A$111</f>
        <v>0 STK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0" t="str">
        <f>VLOOKUP("Unterlagsplatte, für DS, DR29, DP, R.16, FX.12",Sprachindex!A:Z,Info!$O$6,FALSE)</f>
        <v>Unterlagsplatte, für DS, DR29, DP, R.16, FX.12</v>
      </c>
      <c r="F77" s="251"/>
      <c r="G77" s="251"/>
      <c r="H77" s="251"/>
      <c r="I77" s="251"/>
      <c r="J77" s="251"/>
      <c r="K77" s="257"/>
      <c r="L77" s="96" t="str">
        <f t="shared" si="4"/>
        <v/>
      </c>
      <c r="M77" s="102"/>
      <c r="O77" s="1"/>
      <c r="P77" s="191" t="str">
        <f>ROUNDUP($A77/15,0)*15 &amp;" " &amp; Formeln!$A$111</f>
        <v>0 STK</v>
      </c>
      <c r="Q77" s="191" t="str">
        <f>ROUNDUP($A77,0) &amp;" " &amp; Formeln!$A$111</f>
        <v>0 STK</v>
      </c>
      <c r="T77" s="46">
        <v>110360</v>
      </c>
      <c r="U77" s="46">
        <v>110361</v>
      </c>
      <c r="V77" s="46">
        <v>110362</v>
      </c>
      <c r="W77" s="46">
        <v>110363</v>
      </c>
      <c r="X77" s="46">
        <v>110364</v>
      </c>
      <c r="Y77" s="46">
        <v>110365</v>
      </c>
      <c r="Z77" s="46">
        <v>110366</v>
      </c>
      <c r="AA77" s="46">
        <v>110367</v>
      </c>
      <c r="AB77" s="46">
        <v>110368</v>
      </c>
      <c r="AD77" s="46">
        <v>110370</v>
      </c>
      <c r="AE77" s="46">
        <v>110371</v>
      </c>
      <c r="AF77" s="46">
        <v>110372</v>
      </c>
      <c r="AG77" s="46">
        <v>110373</v>
      </c>
      <c r="AH77" s="46">
        <v>110374</v>
      </c>
      <c r="AI77" s="46">
        <v>110375</v>
      </c>
      <c r="AJ77" s="46">
        <v>110376</v>
      </c>
      <c r="AK77" s="46">
        <v>110377</v>
      </c>
      <c r="AL77" s="46">
        <v>110378</v>
      </c>
      <c r="AM77" s="1">
        <v>110379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95">
        <f t="shared" ref="D78:D91" si="5">IF($N$21=1,T78,IF($N$21=4,U78,IF($N$21=5,V78,IF($N$21=11,W78,IF($N$21=7,X78,IF($N$21=3,Y78,IF($N$21=6,Z78,IF($N$21=9,AA78,IF($N$21=2,AB78,IF($N$21=8,AC78,0))))))))))</f>
        <v>0</v>
      </c>
      <c r="E78" s="250" t="str">
        <f>VLOOKUP("Schneestopper, Typ PS, für Dachschindel ",Sprachindex!A:Z,Info!$O$6,FALSE)</f>
        <v xml:space="preserve">Schneestopper, Typ PS, für Dachschindel </v>
      </c>
      <c r="F78" s="251"/>
      <c r="G78" s="251"/>
      <c r="H78" s="251"/>
      <c r="I78" s="251"/>
      <c r="J78" s="251"/>
      <c r="K78" s="257"/>
      <c r="L78" s="96" t="str">
        <f t="shared" si="4"/>
        <v/>
      </c>
      <c r="M78" s="102"/>
      <c r="O78" s="1"/>
      <c r="P78" s="191" t="str">
        <f>ROUNDUP($A78/150,0)*150 &amp;" " &amp; Formeln!$A$111</f>
        <v>0 STK</v>
      </c>
      <c r="Q78" s="191" t="str">
        <f>ROUNDUP($A78,0) &amp;" " &amp; Formeln!$A$111</f>
        <v>0 STK</v>
      </c>
      <c r="T78" s="46">
        <v>110310</v>
      </c>
      <c r="U78" s="46">
        <v>110311</v>
      </c>
      <c r="V78" s="46">
        <v>110312</v>
      </c>
      <c r="W78" s="46">
        <v>110313</v>
      </c>
      <c r="X78" s="46">
        <v>110314</v>
      </c>
      <c r="Y78" s="46">
        <v>110315</v>
      </c>
      <c r="Z78" s="46">
        <v>110316</v>
      </c>
      <c r="AA78" s="46">
        <v>110317</v>
      </c>
      <c r="AB78" s="46">
        <v>110318</v>
      </c>
      <c r="AC78" s="46">
        <v>110319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 t="shared" si="5"/>
        <v>0</v>
      </c>
      <c r="E79" s="250" t="str">
        <f>VLOOKUP("Haken für Schneerechensystem, inkl. Befestigungsmaterial",Sprachindex!A:Z,Info!$O$6,FALSE)</f>
        <v>Haken für Schneerechensystem, inkl. Befestigungsmaterial</v>
      </c>
      <c r="F79" s="251"/>
      <c r="G79" s="251"/>
      <c r="H79" s="251"/>
      <c r="I79" s="251"/>
      <c r="J79" s="251"/>
      <c r="K79" s="257"/>
      <c r="L79" s="96" t="str">
        <f t="shared" si="4"/>
        <v/>
      </c>
      <c r="M79" s="102"/>
      <c r="O79" s="1"/>
      <c r="P79" s="191" t="str">
        <f>ROUNDUP($A79/2,0)*2 &amp;" " &amp; Formeln!$A$111</f>
        <v>0 STK</v>
      </c>
      <c r="Q79" s="191" t="str">
        <f>ROUNDUP($A79,0) &amp;" " &amp; Formeln!$A$111</f>
        <v>0 STK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lfm</v>
      </c>
      <c r="C80" s="98"/>
      <c r="D80" s="95">
        <f t="shared" si="5"/>
        <v>0</v>
      </c>
      <c r="E80" s="250" t="str">
        <f>VLOOKUP("Einlegeprofil f.Schneerechensystem, 3m",Sprachindex!A:Z,Info!$O$6,FALSE)</f>
        <v>Einlegeprofil f.Schneerechensystem, 3m</v>
      </c>
      <c r="F80" s="251"/>
      <c r="G80" s="251"/>
      <c r="H80" s="251"/>
      <c r="I80" s="251"/>
      <c r="J80" s="251"/>
      <c r="K80" s="257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lfm                (=0 STK)</v>
      </c>
      <c r="Q80" s="191" t="str">
        <f>ROUNDUP($A80/3,0)*3 &amp;" " &amp; Formeln!$A$112 &amp; "                " &amp; "(="&amp;ROUNDUP($A80/3,0) &amp; " " &amp;Formeln!$A$111 &amp; ")"</f>
        <v>0 lfm                (=0 STK)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STK</v>
      </c>
      <c r="C81" s="98"/>
      <c r="D81" s="95">
        <f t="shared" si="5"/>
        <v>0</v>
      </c>
      <c r="E81" s="250" t="str">
        <f>VLOOKUP("Eiskralle f. Einlegeprofil",Sprachindex!A:Z,Info!$O$6,FALSE)</f>
        <v>Eiskralle f. Einlegeprofil</v>
      </c>
      <c r="F81" s="251"/>
      <c r="G81" s="251"/>
      <c r="H81" s="251"/>
      <c r="I81" s="251"/>
      <c r="J81" s="251"/>
      <c r="K81" s="257"/>
      <c r="L81" s="96" t="str">
        <f t="shared" si="4"/>
        <v/>
      </c>
      <c r="M81" s="102"/>
      <c r="O81" s="1"/>
      <c r="P81" s="191" t="str">
        <f>ROUNDUP($A81/100,0)*100 &amp;" " &amp; Formeln!$A$111</f>
        <v>0 STK</v>
      </c>
      <c r="Q81" s="191" t="str">
        <f>ROUNDUP($A81,0) &amp;" " &amp; Formeln!$A$111</f>
        <v>0 STK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STK</v>
      </c>
      <c r="C82" s="98"/>
      <c r="D82" s="95">
        <f t="shared" si="5"/>
        <v>0</v>
      </c>
      <c r="E82" s="250" t="str">
        <f>VLOOKUP("Abschluss f. Schneerechensystem",Sprachindex!A:Z,Info!$O$6,FALSE)</f>
        <v>Abschluss f. Schneerechensystem</v>
      </c>
      <c r="F82" s="251"/>
      <c r="G82" s="251"/>
      <c r="H82" s="251"/>
      <c r="I82" s="251"/>
      <c r="J82" s="251"/>
      <c r="K82" s="257"/>
      <c r="L82" s="96" t="str">
        <f t="shared" si="4"/>
        <v/>
      </c>
      <c r="M82" s="102"/>
      <c r="O82" s="1"/>
      <c r="P82" s="191" t="str">
        <f>ROUNDUP($A82/2,0)*2 &amp;" " &amp; Formeln!$A$111</f>
        <v>0 STK</v>
      </c>
      <c r="Q82" s="191" t="str">
        <f>ROUNDUP($A82,0) &amp;" " &amp; Formeln!$A$111</f>
        <v>0 STK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STK</v>
      </c>
      <c r="C83" s="98"/>
      <c r="D83" s="95">
        <f t="shared" si="5"/>
        <v>0</v>
      </c>
      <c r="E83" s="250" t="str">
        <f>VLOOKUP("Gebirgsschneefangstütze, inkl. Befestigungsmaterial",Sprachindex!A:Z,Info!$O$6,FALSE)</f>
        <v>Gebirgsschneefangstütze, inkl. Befestigungsmaterial</v>
      </c>
      <c r="F83" s="251"/>
      <c r="G83" s="251"/>
      <c r="H83" s="251"/>
      <c r="I83" s="251"/>
      <c r="J83" s="251"/>
      <c r="K83" s="257"/>
      <c r="L83" s="96" t="str">
        <f t="shared" si="4"/>
        <v/>
      </c>
      <c r="M83" s="102"/>
      <c r="O83" s="1"/>
      <c r="P83" s="191" t="str">
        <f>ROUNDUP($A83/2,0)*2 &amp;" " &amp; Formeln!$A$111</f>
        <v>0 STK</v>
      </c>
      <c r="Q83" s="191" t="str">
        <f>ROUNDUP($A83,0) &amp;" " &amp; Formeln!$A$111</f>
        <v>0 STK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STK</v>
      </c>
      <c r="C84" s="98"/>
      <c r="D84" s="95">
        <f t="shared" si="5"/>
        <v>0</v>
      </c>
      <c r="E84" s="250" t="str">
        <f>VLOOKUP("Kaminhut, inkl. Kaminstreben, 700x700mm",Sprachindex!A:Z,Info!$O$6,FALSE)</f>
        <v>Kaminhut, inkl. Kaminstreben, 700x700mm</v>
      </c>
      <c r="F84" s="251"/>
      <c r="G84" s="251"/>
      <c r="H84" s="251"/>
      <c r="I84" s="251"/>
      <c r="J84" s="251"/>
      <c r="K84" s="257"/>
      <c r="L84" s="96" t="str">
        <f t="shared" si="4"/>
        <v/>
      </c>
      <c r="M84" s="102"/>
      <c r="O84" s="1"/>
      <c r="P84" s="191" t="str">
        <f>ROUNDUP($A84,0) &amp;" " &amp; Formeln!$A$111</f>
        <v>0 STK</v>
      </c>
      <c r="Q84" s="191" t="str">
        <f>ROUNDUP($A84,0) &amp;" " &amp; Formeln!$A$111</f>
        <v>0 STK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STK</v>
      </c>
      <c r="C85" s="98"/>
      <c r="D85" s="95">
        <f t="shared" si="5"/>
        <v>0</v>
      </c>
      <c r="E85" s="250" t="str">
        <f>VLOOKUP("Kaminhut, inkl. Kaminstreben, 800x800mm",Sprachindex!A:Z,Info!$O$6,FALSE)</f>
        <v>Kaminhut, inkl. Kaminstreben, 800x800mm</v>
      </c>
      <c r="F85" s="251"/>
      <c r="G85" s="251"/>
      <c r="H85" s="251"/>
      <c r="I85" s="251"/>
      <c r="J85" s="251"/>
      <c r="K85" s="257"/>
      <c r="L85" s="96" t="str">
        <f t="shared" si="4"/>
        <v/>
      </c>
      <c r="M85" s="102"/>
      <c r="O85" s="1"/>
      <c r="P85" s="191" t="str">
        <f>ROUNDUP($A85,0) &amp;" " &amp; Formeln!$A$111</f>
        <v>0 STK</v>
      </c>
      <c r="Q85" s="191" t="str">
        <f>ROUNDUP($A85,0) &amp;" " &amp; Formeln!$A$111</f>
        <v>0 STK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STK</v>
      </c>
      <c r="C86" s="98"/>
      <c r="D86" s="95">
        <f t="shared" si="5"/>
        <v>0</v>
      </c>
      <c r="E86" s="250" t="str">
        <f>VLOOKUP("Kaminhut, inkl. Kaminstreben, 1000x700mm",Sprachindex!A:Z,Info!$O$6,FALSE)</f>
        <v>Kaminhut, inkl. Kaminstreben, 1000x700mm</v>
      </c>
      <c r="F86" s="251"/>
      <c r="G86" s="251"/>
      <c r="H86" s="251"/>
      <c r="I86" s="251"/>
      <c r="J86" s="251"/>
      <c r="K86" s="257"/>
      <c r="L86" s="96" t="str">
        <f t="shared" si="4"/>
        <v/>
      </c>
      <c r="M86" s="102"/>
      <c r="O86" s="1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STK</v>
      </c>
      <c r="C87" s="98"/>
      <c r="D87" s="95">
        <f t="shared" si="5"/>
        <v>0</v>
      </c>
      <c r="E87" s="250" t="str">
        <f>VLOOKUP("Kaminhut, inkl. Kaminstreben, 1100x800mm",Sprachindex!A:Z,Info!$O$6,FALSE)</f>
        <v>Kaminhut, inkl. Kaminstreben, 1100x800mm</v>
      </c>
      <c r="F87" s="251"/>
      <c r="G87" s="251"/>
      <c r="H87" s="251"/>
      <c r="I87" s="251"/>
      <c r="J87" s="251"/>
      <c r="K87" s="257"/>
      <c r="L87" s="96" t="str">
        <f t="shared" si="4"/>
        <v/>
      </c>
      <c r="M87" s="102"/>
      <c r="O87" s="1"/>
      <c r="P87" s="191" t="str">
        <f>ROUNDUP($A87,0) &amp;" " &amp; Formeln!$A$111</f>
        <v>0 STK</v>
      </c>
      <c r="Q87" s="191" t="str">
        <f>ROUNDUP($A87,0) &amp;" " &amp; Formeln!$A$111</f>
        <v>0 STK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STK</v>
      </c>
      <c r="C88" s="98"/>
      <c r="D88" s="95">
        <f t="shared" si="5"/>
        <v>0</v>
      </c>
      <c r="E88" s="250" t="str">
        <f>VLOOKUP("Kaminhut, inkl. Kaminstreben, 1500x800mm",Sprachindex!A:Z,Info!$O$6,FALSE)</f>
        <v>Kaminhut, inkl. Kaminstreben, 1500x800mm</v>
      </c>
      <c r="F88" s="251"/>
      <c r="G88" s="251"/>
      <c r="H88" s="251"/>
      <c r="I88" s="251"/>
      <c r="J88" s="251"/>
      <c r="K88" s="257"/>
      <c r="L88" s="96" t="str">
        <f t="shared" si="4"/>
        <v/>
      </c>
      <c r="M88" s="102"/>
      <c r="O88" s="1"/>
      <c r="P88" s="191" t="str">
        <f>ROUNDUP($A88,0) &amp;" " &amp; Formeln!$A$111</f>
        <v>0 STK</v>
      </c>
      <c r="Q88" s="191" t="str">
        <f>ROUNDUP($A88,0) &amp;" " &amp; Formeln!$A$111</f>
        <v>0 STK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STK</v>
      </c>
      <c r="C89" s="98"/>
      <c r="D89" s="95">
        <f t="shared" si="5"/>
        <v>0</v>
      </c>
      <c r="E89" s="250" t="str">
        <f>VLOOKUP("Kaminstreben, gebogen",Sprachindex!A:Z,Info!$O$6,FALSE)</f>
        <v>Kaminstreben, gebogen</v>
      </c>
      <c r="F89" s="251"/>
      <c r="G89" s="251"/>
      <c r="H89" s="251"/>
      <c r="I89" s="251"/>
      <c r="J89" s="251"/>
      <c r="K89" s="257"/>
      <c r="L89" s="96" t="str">
        <f t="shared" si="4"/>
        <v/>
      </c>
      <c r="M89" s="102"/>
      <c r="O89" s="1"/>
      <c r="P89" s="191" t="str">
        <f>ROUNDUP($A89/10,0)*10 &amp;" " &amp; Formeln!$A$111</f>
        <v>0 STK</v>
      </c>
      <c r="Q89" s="191" t="str">
        <f>ROUNDUP($A89,0) &amp;" " &amp; Formeln!$A$111</f>
        <v>0 STK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lfm</v>
      </c>
      <c r="C90" s="98"/>
      <c r="D90" s="95">
        <f t="shared" si="5"/>
        <v>0</v>
      </c>
      <c r="E90" s="250" t="str">
        <f>VLOOKUP("Kaminstreben, 7x35x3000mm",Sprachindex!A:Z,Info!$O$6,FALSE)</f>
        <v>Kaminstreben, 7x35x3000mm</v>
      </c>
      <c r="F90" s="251"/>
      <c r="G90" s="251"/>
      <c r="H90" s="251"/>
      <c r="I90" s="251"/>
      <c r="J90" s="251"/>
      <c r="K90" s="257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lfm                (=0 STK)</v>
      </c>
      <c r="Q90" s="191" t="str">
        <f>ROUNDUP($A90/3,0)*3 &amp;" " &amp; Formeln!$A$112 &amp; "                " &amp; "(="&amp;ROUNDUP($A90/3,0) &amp; " " &amp;Formeln!$A$111 &amp; ")"</f>
        <v>0 lfm                (=0 STK)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STK</v>
      </c>
      <c r="C91" s="98"/>
      <c r="D91" s="95">
        <f t="shared" si="5"/>
        <v>0</v>
      </c>
      <c r="E91" s="250" t="str">
        <f>VLOOKUP("Hauerbuckel ",Sprachindex!A:Z,Info!$O$6,FALSE)</f>
        <v xml:space="preserve">Hauerbuckel </v>
      </c>
      <c r="F91" s="251"/>
      <c r="G91" s="251"/>
      <c r="H91" s="251"/>
      <c r="I91" s="251"/>
      <c r="J91" s="251"/>
      <c r="K91" s="257"/>
      <c r="L91" s="96" t="str">
        <f t="shared" si="4"/>
        <v/>
      </c>
      <c r="M91" s="102"/>
      <c r="O91" s="1"/>
      <c r="P91" s="191" t="str">
        <f>ROUNDUP($A91,0) &amp;" " &amp; Formeln!$A$111</f>
        <v>0 STK</v>
      </c>
      <c r="Q91" s="191" t="str">
        <f>ROUNDUP($A91,0) &amp;" " &amp; Formeln!$A$111</f>
        <v>0 STK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STK</v>
      </c>
      <c r="C92" s="98"/>
      <c r="D92" s="95">
        <v>340404</v>
      </c>
      <c r="E92" s="250" t="str">
        <f>VLOOKUP("Dachleitungshalter für Blitzschutzdraht",Sprachindex!A:Z,Info!$O$6,FALSE)</f>
        <v>Dachleitungshalter für Blitzschutzdraht</v>
      </c>
      <c r="F92" s="251"/>
      <c r="G92" s="251"/>
      <c r="H92" s="251"/>
      <c r="I92" s="251"/>
      <c r="J92" s="251"/>
      <c r="K92" s="257"/>
      <c r="L92" s="96" t="str">
        <f t="shared" si="4"/>
        <v/>
      </c>
      <c r="M92" s="102"/>
      <c r="O92" s="1"/>
      <c r="P92" s="191" t="str">
        <f>ROUNDUP($A92/50,0)*50 &amp;" " &amp; Formeln!$A$111</f>
        <v>0 STK</v>
      </c>
      <c r="Q92" s="191" t="str">
        <f>ROUNDUP($A92,0) &amp;" " &amp; Formeln!$A$111</f>
        <v>0 STK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STK</v>
      </c>
      <c r="C93" s="95"/>
      <c r="D93" s="95">
        <v>420501</v>
      </c>
      <c r="E93" s="258" t="str">
        <f>VLOOKUP("Spezialkleber",Sprachindex!A:Z,Info!$O$6,FALSE)</f>
        <v>Spezialkleber</v>
      </c>
      <c r="F93" s="259"/>
      <c r="G93" s="259"/>
      <c r="H93" s="259"/>
      <c r="I93" s="259"/>
      <c r="J93" s="259"/>
      <c r="K93" s="260"/>
      <c r="L93" s="96" t="str">
        <f t="shared" si="4"/>
        <v/>
      </c>
      <c r="M93" s="102"/>
      <c r="O93" s="1"/>
      <c r="P93" s="191" t="str">
        <f>ROUNDUP($A93,0) &amp;" " &amp; Formeln!$A$111</f>
        <v>0 STK</v>
      </c>
      <c r="Q93" s="191" t="str">
        <f>ROUNDUP($A93,0) &amp;" " &amp; Formeln!$A$111</f>
        <v>0 STK</v>
      </c>
    </row>
    <row r="94" spans="1:29" ht="32.1" customHeight="1">
      <c r="A94" s="118"/>
      <c r="B94" s="96" t="str">
        <f>VLOOKUP("Set",Sprachindex!A:Z,Info!$O$6,FALSE)</f>
        <v>Set</v>
      </c>
      <c r="C94" s="98"/>
      <c r="D94" s="95">
        <v>420500</v>
      </c>
      <c r="E94" s="250" t="str">
        <f>VLOOKUP("Spezialkleber-Set",Sprachindex!A:Z,Info!$O$6,FALSE)</f>
        <v>Spezialkleber-Set</v>
      </c>
      <c r="F94" s="251"/>
      <c r="G94" s="251"/>
      <c r="H94" s="251"/>
      <c r="I94" s="251"/>
      <c r="J94" s="251"/>
      <c r="K94" s="257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Set</v>
      </c>
      <c r="Q94" s="191" t="str">
        <f>ROUNDUP($A94,0) &amp;" " &amp; IF($A94&lt;=1,Formeln!$A$119,IF($A94&gt;1,Formeln!$A$120,""))</f>
        <v>0 Set</v>
      </c>
    </row>
    <row r="95" spans="1:29" ht="32.1" customHeight="1">
      <c r="A95" s="118"/>
      <c r="B95" s="96" t="str">
        <f>VLOOKUP("Stk",Sprachindex!A:Z,Info!$O$6,FALSE)</f>
        <v>STK</v>
      </c>
      <c r="C95" s="95"/>
      <c r="D95" s="95">
        <v>340415</v>
      </c>
      <c r="E95" s="292" t="str">
        <f>VLOOKUP("SDH Schraubensatz f.Aufsparrendäm.",Sprachindex!A:Z,Info!$O$6,FALSE)</f>
        <v>SDH Schraubensatz f.Aufsparrendäm.</v>
      </c>
      <c r="F95" s="292"/>
      <c r="G95" s="292"/>
      <c r="H95" s="292"/>
      <c r="I95" s="292"/>
      <c r="J95" s="292"/>
      <c r="K95" s="292"/>
      <c r="L95" s="96" t="str">
        <f>IF($A95=0,"",IF($N$11=1,P95,Q95))</f>
        <v/>
      </c>
      <c r="M95" s="102"/>
      <c r="O95" s="1"/>
      <c r="P95" s="191" t="str">
        <f>ROUNDUP($A95,0) &amp;" " &amp; Formeln!$A$111</f>
        <v>0 STK</v>
      </c>
      <c r="Q95" s="191" t="str">
        <f>ROUNDUP($A95,0) &amp;" " &amp; Formeln!$A$111</f>
        <v>0 STK</v>
      </c>
    </row>
    <row r="96" spans="1:29" ht="32.1" customHeight="1">
      <c r="A96" s="118"/>
      <c r="B96" s="96" t="str">
        <f>VLOOKUP("Stk",Sprachindex!A:Z,Info!$O$6,FALSE)</f>
        <v>STK</v>
      </c>
      <c r="C96" s="98"/>
      <c r="D96" s="95">
        <v>340416</v>
      </c>
      <c r="E96" s="250" t="str">
        <f>VLOOKUP("SDH Bohrsatz,für Aufsparrendämmung",Sprachindex!A:Z,Info!$O$6,FALSE)</f>
        <v>SDH Bohrsatz,für Aufsparrendämmung</v>
      </c>
      <c r="F96" s="251"/>
      <c r="G96" s="251"/>
      <c r="H96" s="251"/>
      <c r="I96" s="251"/>
      <c r="J96" s="251"/>
      <c r="K96" s="257"/>
      <c r="L96" s="96" t="str">
        <f>IF($A96=0,"",IF($N$11=1,P96,Q96))</f>
        <v/>
      </c>
      <c r="M96" s="102"/>
      <c r="O96" s="1"/>
      <c r="P96" s="191" t="str">
        <f>ROUNDUP($A96,0) &amp;" " &amp; Formeln!$A$111</f>
        <v>0 STK</v>
      </c>
      <c r="Q96" s="191" t="str">
        <f>ROUNDUP($A96,0) &amp;" " &amp; Formeln!$A$111</f>
        <v>0 STK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65" t="str">
        <f>VLOOKUP("Lochblech, 0,70x1000mm
in Rollen zu 24kg ",Sprachindex!A:Z,Info!$O$6,FALSE)</f>
        <v xml:space="preserve">Lochblech, 0,70x1000mm
in Rollen zu 24kg </v>
      </c>
      <c r="F97" s="266"/>
      <c r="G97" s="266"/>
      <c r="H97" s="266"/>
      <c r="I97" s="252"/>
      <c r="J97" s="267"/>
      <c r="K97" s="267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Rolle)</v>
      </c>
      <c r="Q97" s="191" t="str">
        <f>ROUNDUP($A97,0) &amp; " " &amp; Formeln!$A$114 &amp; "        " &amp; "(="&amp;ROUNDUP($A97/24,1) &amp; " " &amp;R97&amp; ")"</f>
        <v>0 kg        (=0 Rolle)</v>
      </c>
      <c r="R97" s="8" t="str">
        <f>IF(A97&gt;24, Formeln!A116, Formeln!A115)</f>
        <v>Rolle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39" ht="50.1" customHeight="1">
      <c r="A98" s="118"/>
      <c r="B98" s="96" t="str">
        <f>VLOOKUP("kg",Sprachindex!A:Z,Info!$O$6,FALSE)</f>
        <v>kg</v>
      </c>
      <c r="C98" s="98"/>
      <c r="D98" s="100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IF(AND(I102=Formeln!A22,K102=Formeln!A127),AL102,IF(AND(I102=Formeln!A22,K102=Formeln!A133),AM102,0))))))))))))))))))))))))</f>
        <v>0</v>
      </c>
      <c r="E98" s="250" t="str">
        <f>VLOOKUP("PREFALZ 0.7x1000 stucco, in Rollen zu 60kg",Sprachindex!A:Z,Info!$O$6,FALSE)</f>
        <v>PREFALZ 0.7x1000 stucco, in Rollen zu 60kg</v>
      </c>
      <c r="F98" s="251"/>
      <c r="G98" s="251"/>
      <c r="H98" s="103" t="str">
        <f>VLOOKUP("Oberfläche:",Sprachindex!A:Z,Info!$O$6,FALSE)</f>
        <v>Oberfläche:</v>
      </c>
      <c r="I98" s="104"/>
      <c r="J98" s="101" t="str">
        <f>VLOOKUP("Farbe:",Sprachindex!A:Z,Info!$O$6,FALSE)</f>
        <v>Farbe: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Rolle)</v>
      </c>
      <c r="Q98" s="208" t="str">
        <f>ROUNDUP($A98,0) &amp; " " &amp; Formeln!$A$114 &amp; "        " &amp; "(="&amp;ROUNDUP($A98/60,1) &amp; " " &amp;R98&amp; ")"</f>
        <v>0 kg        (=0 Rolle)</v>
      </c>
      <c r="R98" s="8" t="str">
        <f>IF(A98&gt;60, Formeln!A116, Formeln!A115)</f>
        <v>Rolle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39" ht="32.1" customHeight="1">
      <c r="A99" s="195"/>
      <c r="B99" s="196"/>
      <c r="C99" s="196"/>
      <c r="D99" s="196"/>
      <c r="E99" s="268"/>
      <c r="F99" s="269"/>
      <c r="G99" s="269"/>
      <c r="H99" s="269"/>
      <c r="I99" s="269"/>
      <c r="J99" s="269"/>
      <c r="K99" s="270"/>
      <c r="L99" s="196" t="str">
        <f>IF(A99=0,"",IF(I99=Formeln!A101," ",IF($N$11=1,P99,Q99)))</f>
        <v/>
      </c>
      <c r="M99" s="197"/>
      <c r="O99" s="1"/>
      <c r="P99" s="8"/>
      <c r="Q99" s="8"/>
    </row>
    <row r="100" spans="1:39" ht="32.1" customHeight="1">
      <c r="A100" s="195"/>
      <c r="B100" s="196"/>
      <c r="C100" s="196"/>
      <c r="D100" s="196"/>
      <c r="E100" s="268"/>
      <c r="F100" s="269"/>
      <c r="G100" s="269"/>
      <c r="H100" s="269"/>
      <c r="I100" s="269"/>
      <c r="J100" s="269"/>
      <c r="K100" s="270"/>
      <c r="L100" s="196" t="str">
        <f>IF(A100=0,"",IF(AND(I100=Formeln!A18,DP!K100=Formeln!A122)," ",IF($N$11=1,P100,Q100)))</f>
        <v/>
      </c>
      <c r="M100" s="197"/>
      <c r="O100" s="1"/>
      <c r="P100" s="8"/>
      <c r="Q100" s="8"/>
    </row>
    <row r="101" spans="1:39" ht="32.1" customHeight="1" thickBot="1">
      <c r="A101" s="198"/>
      <c r="B101" s="199"/>
      <c r="C101" s="199"/>
      <c r="D101" s="199"/>
      <c r="E101" s="271"/>
      <c r="F101" s="272"/>
      <c r="G101" s="272"/>
      <c r="H101" s="272"/>
      <c r="I101" s="272"/>
      <c r="J101" s="272"/>
      <c r="K101" s="273"/>
      <c r="L101" s="199"/>
      <c r="M101" s="200"/>
      <c r="O101" s="1"/>
      <c r="P101" s="8"/>
      <c r="Q101" s="8"/>
    </row>
    <row r="102" spans="1:39" ht="17.399999999999999">
      <c r="A102" s="86"/>
      <c r="B102" s="86"/>
      <c r="C102" s="8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</row>
    <row r="103" spans="1:39" ht="17.399999999999999">
      <c r="A103" s="86"/>
      <c r="B103" s="86"/>
      <c r="C103" s="108" t="str">
        <f>VLOOKUP("Zusatzvermerk:",Sprachindex!A:Z,Info!$O$6,FALSE)</f>
        <v>Zusatzvermerk:</v>
      </c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</row>
    <row r="104" spans="1:39" ht="17.399999999999999">
      <c r="A104" s="86"/>
      <c r="B104" s="86"/>
      <c r="C104" s="86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</row>
    <row r="105" spans="1:39" ht="17.399999999999999">
      <c r="A105" s="86"/>
      <c r="B105" s="86"/>
      <c r="C105" s="86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</row>
    <row r="106" spans="1:39" ht="17.399999999999999">
      <c r="A106" s="86"/>
      <c r="B106" s="86"/>
      <c r="C106" s="86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</row>
    <row r="107" spans="1:39" ht="17.399999999999999">
      <c r="A107" s="86"/>
      <c r="B107" s="86"/>
      <c r="C107" s="86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</row>
    <row r="108" spans="1:39" ht="13.8"/>
    <row r="109" spans="1:39" ht="13.8"/>
    <row r="110" spans="1:39" ht="17.399999999999999">
      <c r="A110" s="109" t="str">
        <f>VLOOKUP("Anwendungstechnik",Sprachindex!A:Z,Info!$O$6,FALSE)</f>
        <v>Anwendungstechnik</v>
      </c>
      <c r="B110" s="110"/>
      <c r="C110" s="110"/>
      <c r="D110" s="264"/>
      <c r="E110" s="264"/>
      <c r="F110" s="264"/>
      <c r="G110" s="264"/>
      <c r="H110" s="264"/>
      <c r="I110" s="264"/>
      <c r="J110" s="264"/>
      <c r="K110" s="111" t="str">
        <f>VLOOKUP("Stand:",Sprachindex!A:Z,Info!$O$6,FALSE)</f>
        <v>Stand:</v>
      </c>
      <c r="L110" s="277">
        <v>44546</v>
      </c>
      <c r="M110" s="278"/>
    </row>
    <row r="111" spans="1:39" ht="13.8"/>
    <row r="112" spans="1:39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4.25" customHeight="1"/>
    <row r="120" ht="14.25" customHeight="1"/>
    <row r="121" ht="14.25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101" name="darf vom Benutzer nicht verändert werden_1_5_10"/>
    <protectedRange password="DEBF" sqref="P31" name="darf vom Benutzer nicht verändert werden_1_5_2_2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70" name="darf vom Benutzer nicht verändert werden_1_5_14"/>
    <protectedRange password="DEBF" sqref="P71:Q77" name="darf vom Benutzer nicht verändert werden_1_5_17"/>
    <protectedRange password="DEBF" sqref="P78:Q78" name="darf vom Benutzer nicht verändert werden_1_5_18"/>
    <protectedRange password="DEBF" sqref="P99:P100" name="darf vom Benutzer nicht verändert werden_1_5_21"/>
    <protectedRange password="DEBF" sqref="P79:Q93" name="darf vom Benutzer nicht verändert werden_1_5_22"/>
    <protectedRange password="DEBF" sqref="P95:Q98" name="darf vom Benutzer nicht verändert werden_1_5_23"/>
    <protectedRange password="DEBF" sqref="Q99:Q101" name="darf vom Benutzer nicht verändert werden_1_5_25"/>
    <protectedRange password="DEBF" sqref="P39:Q39" name="darf vom Benutzer nicht verändert werden_1_5_27"/>
    <protectedRange password="DEBF" sqref="P94:Q94" name="darf vom Benutzer nicht verändert werden_1_5"/>
  </protectedRanges>
  <autoFilter ref="A29:A101" xr:uid="{00000000-0009-0000-0000-000002000000}"/>
  <mergeCells count="110">
    <mergeCell ref="E75:K75"/>
    <mergeCell ref="E90:K90"/>
    <mergeCell ref="E88:K88"/>
    <mergeCell ref="E77:K77"/>
    <mergeCell ref="E78:K78"/>
    <mergeCell ref="E98:G98"/>
    <mergeCell ref="E94:K94"/>
    <mergeCell ref="E95:K95"/>
    <mergeCell ref="E84:K84"/>
    <mergeCell ref="E89:K89"/>
    <mergeCell ref="E91:K91"/>
    <mergeCell ref="E93:K93"/>
    <mergeCell ref="E96:K96"/>
    <mergeCell ref="E92:K92"/>
    <mergeCell ref="H38:K38"/>
    <mergeCell ref="E51:K51"/>
    <mergeCell ref="E55:H55"/>
    <mergeCell ref="J55:K55"/>
    <mergeCell ref="E79:K79"/>
    <mergeCell ref="P29:Q29"/>
    <mergeCell ref="D110:J110"/>
    <mergeCell ref="E99:K99"/>
    <mergeCell ref="E100:K100"/>
    <mergeCell ref="E101:K101"/>
    <mergeCell ref="D106:M107"/>
    <mergeCell ref="D104:M105"/>
    <mergeCell ref="D102:M103"/>
    <mergeCell ref="L110:M110"/>
    <mergeCell ref="E97:H97"/>
    <mergeCell ref="I97:K97"/>
    <mergeCell ref="E80:K80"/>
    <mergeCell ref="E81:K81"/>
    <mergeCell ref="E82:K82"/>
    <mergeCell ref="E83:K83"/>
    <mergeCell ref="E85:K85"/>
    <mergeCell ref="E86:K86"/>
    <mergeCell ref="E87:K87"/>
    <mergeCell ref="E50:K50"/>
    <mergeCell ref="E41:K41"/>
    <mergeCell ref="E42:K42"/>
    <mergeCell ref="E43:K43"/>
    <mergeCell ref="E64:K64"/>
    <mergeCell ref="E65:K65"/>
    <mergeCell ref="E67:K67"/>
    <mergeCell ref="E71:K71"/>
    <mergeCell ref="E76:K76"/>
    <mergeCell ref="E68:K68"/>
    <mergeCell ref="E69:K69"/>
    <mergeCell ref="E70:K70"/>
    <mergeCell ref="E72:K72"/>
    <mergeCell ref="E73:K73"/>
    <mergeCell ref="E74:K74"/>
    <mergeCell ref="E59:K59"/>
    <mergeCell ref="E61:K61"/>
    <mergeCell ref="E56:H56"/>
    <mergeCell ref="J56:K56"/>
    <mergeCell ref="E58:K58"/>
    <mergeCell ref="E54:K54"/>
    <mergeCell ref="E62:K62"/>
    <mergeCell ref="E63:K63"/>
    <mergeCell ref="E57:H57"/>
    <mergeCell ref="J57:K57"/>
    <mergeCell ref="K5:M5"/>
    <mergeCell ref="E52:K52"/>
    <mergeCell ref="E53:K53"/>
    <mergeCell ref="E66:K66"/>
    <mergeCell ref="I25:K25"/>
    <mergeCell ref="C26:E26"/>
    <mergeCell ref="I26:K26"/>
    <mergeCell ref="C27:E27"/>
    <mergeCell ref="E45:K45"/>
    <mergeCell ref="E46:K46"/>
    <mergeCell ref="E48:G48"/>
    <mergeCell ref="H48:K48"/>
    <mergeCell ref="E49:G49"/>
    <mergeCell ref="H49:K49"/>
    <mergeCell ref="E47:K47"/>
    <mergeCell ref="E44:K44"/>
    <mergeCell ref="E35:G35"/>
    <mergeCell ref="H35:K35"/>
    <mergeCell ref="E36:G36"/>
    <mergeCell ref="E60:K60"/>
    <mergeCell ref="H36:K36"/>
    <mergeCell ref="E37:K37"/>
    <mergeCell ref="E40:K40"/>
    <mergeCell ref="E38:G38"/>
    <mergeCell ref="E39:K39"/>
    <mergeCell ref="K4:M4"/>
    <mergeCell ref="C11:E11"/>
    <mergeCell ref="C9:E9"/>
    <mergeCell ref="C10:E10"/>
    <mergeCell ref="E34:K34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I24:K24"/>
    <mergeCell ref="C25:E25"/>
    <mergeCell ref="K7:M7"/>
    <mergeCell ref="E33:K33"/>
    <mergeCell ref="B24:B27"/>
    <mergeCell ref="C24:E24"/>
    <mergeCell ref="K6:M6"/>
  </mergeCells>
  <conditionalFormatting sqref="I28">
    <cfRule type="expression" dxfId="2580" priority="706">
      <formula>$N$21=10</formula>
    </cfRule>
  </conditionalFormatting>
  <conditionalFormatting sqref="C9:E9 A31:A51 A54:A98">
    <cfRule type="cellIs" dxfId="2579" priority="690" operator="equal">
      <formula>""</formula>
    </cfRule>
  </conditionalFormatting>
  <conditionalFormatting sqref="C10:E10">
    <cfRule type="cellIs" dxfId="2578" priority="689" operator="equal">
      <formula>""</formula>
    </cfRule>
  </conditionalFormatting>
  <conditionalFormatting sqref="C11:E11">
    <cfRule type="cellIs" dxfId="2577" priority="688" operator="equal">
      <formula>""</formula>
    </cfRule>
  </conditionalFormatting>
  <conditionalFormatting sqref="C13:E13">
    <cfRule type="cellIs" dxfId="2576" priority="687" operator="equal">
      <formula>""</formula>
    </cfRule>
  </conditionalFormatting>
  <conditionalFormatting sqref="C14:E14">
    <cfRule type="cellIs" dxfId="2575" priority="686" operator="equal">
      <formula>""</formula>
    </cfRule>
  </conditionalFormatting>
  <conditionalFormatting sqref="C15:E15">
    <cfRule type="cellIs" dxfId="2574" priority="685" operator="equal">
      <formula>""</formula>
    </cfRule>
  </conditionalFormatting>
  <conditionalFormatting sqref="C18:E18">
    <cfRule type="cellIs" dxfId="2573" priority="684" operator="equal">
      <formula>""</formula>
    </cfRule>
  </conditionalFormatting>
  <conditionalFormatting sqref="C19:E19">
    <cfRule type="cellIs" dxfId="2572" priority="683" operator="equal">
      <formula>""</formula>
    </cfRule>
  </conditionalFormatting>
  <conditionalFormatting sqref="C20:E20">
    <cfRule type="cellIs" dxfId="2571" priority="682" operator="equal">
      <formula>""</formula>
    </cfRule>
  </conditionalFormatting>
  <conditionalFormatting sqref="C21:E21">
    <cfRule type="cellIs" dxfId="2570" priority="681" operator="equal">
      <formula>""</formula>
    </cfRule>
  </conditionalFormatting>
  <conditionalFormatting sqref="K4">
    <cfRule type="cellIs" dxfId="2569" priority="680" operator="equal">
      <formula>""</formula>
    </cfRule>
  </conditionalFormatting>
  <conditionalFormatting sqref="K5">
    <cfRule type="cellIs" dxfId="2568" priority="679" operator="equal">
      <formula>""</formula>
    </cfRule>
  </conditionalFormatting>
  <conditionalFormatting sqref="K6">
    <cfRule type="cellIs" dxfId="2567" priority="678" operator="equal">
      <formula>""</formula>
    </cfRule>
  </conditionalFormatting>
  <conditionalFormatting sqref="A99">
    <cfRule type="cellIs" dxfId="2566" priority="615" operator="equal">
      <formula>""</formula>
    </cfRule>
  </conditionalFormatting>
  <conditionalFormatting sqref="A100">
    <cfRule type="cellIs" dxfId="2565" priority="614" operator="equal">
      <formula>""</formula>
    </cfRule>
  </conditionalFormatting>
  <conditionalFormatting sqref="A101">
    <cfRule type="cellIs" dxfId="2564" priority="613" operator="equal">
      <formula>""</formula>
    </cfRule>
  </conditionalFormatting>
  <conditionalFormatting sqref="B100">
    <cfRule type="cellIs" dxfId="2563" priority="611" operator="equal">
      <formula>""</formula>
    </cfRule>
  </conditionalFormatting>
  <conditionalFormatting sqref="B99">
    <cfRule type="cellIs" dxfId="2562" priority="610" operator="equal">
      <formula>""</formula>
    </cfRule>
  </conditionalFormatting>
  <conditionalFormatting sqref="B101">
    <cfRule type="cellIs" dxfId="2561" priority="609" operator="equal">
      <formula>""</formula>
    </cfRule>
  </conditionalFormatting>
  <conditionalFormatting sqref="C101">
    <cfRule type="cellIs" dxfId="2560" priority="608" operator="equal">
      <formula>""</formula>
    </cfRule>
  </conditionalFormatting>
  <conditionalFormatting sqref="C100">
    <cfRule type="cellIs" dxfId="2559" priority="607" operator="equal">
      <formula>""</formula>
    </cfRule>
  </conditionalFormatting>
  <conditionalFormatting sqref="C99">
    <cfRule type="cellIs" dxfId="2558" priority="606" operator="equal">
      <formula>""</formula>
    </cfRule>
  </conditionalFormatting>
  <conditionalFormatting sqref="E99">
    <cfRule type="cellIs" dxfId="2557" priority="605" operator="equal">
      <formula>""</formula>
    </cfRule>
  </conditionalFormatting>
  <conditionalFormatting sqref="E100">
    <cfRule type="cellIs" dxfId="2556" priority="604" operator="equal">
      <formula>""</formula>
    </cfRule>
  </conditionalFormatting>
  <conditionalFormatting sqref="E101">
    <cfRule type="cellIs" dxfId="2555" priority="603" operator="equal">
      <formula>""</formula>
    </cfRule>
  </conditionalFormatting>
  <conditionalFormatting sqref="L101">
    <cfRule type="cellIs" dxfId="2554" priority="602" operator="equal">
      <formula>""</formula>
    </cfRule>
  </conditionalFormatting>
  <conditionalFormatting sqref="M99">
    <cfRule type="cellIs" dxfId="2553" priority="599" operator="equal">
      <formula>""</formula>
    </cfRule>
  </conditionalFormatting>
  <conditionalFormatting sqref="M100">
    <cfRule type="cellIs" dxfId="2552" priority="598" operator="equal">
      <formula>""</formula>
    </cfRule>
  </conditionalFormatting>
  <conditionalFormatting sqref="M101">
    <cfRule type="cellIs" dxfId="2551" priority="597" operator="equal">
      <formula>""</formula>
    </cfRule>
  </conditionalFormatting>
  <conditionalFormatting sqref="D101">
    <cfRule type="cellIs" dxfId="2550" priority="558" operator="equal">
      <formula>""</formula>
    </cfRule>
  </conditionalFormatting>
  <conditionalFormatting sqref="D100">
    <cfRule type="cellIs" dxfId="2549" priority="557" operator="equal">
      <formula>""</formula>
    </cfRule>
  </conditionalFormatting>
  <conditionalFormatting sqref="D99">
    <cfRule type="cellIs" dxfId="2548" priority="556" operator="equal">
      <formula>""</formula>
    </cfRule>
  </conditionalFormatting>
  <conditionalFormatting sqref="T31:AB31">
    <cfRule type="duplicateValues" dxfId="2547" priority="1291"/>
  </conditionalFormatting>
  <conditionalFormatting sqref="AD31:AM31">
    <cfRule type="duplicateValues" dxfId="2546" priority="550"/>
  </conditionalFormatting>
  <conditionalFormatting sqref="T32:AB32">
    <cfRule type="duplicateValues" dxfId="2545" priority="549"/>
  </conditionalFormatting>
  <conditionalFormatting sqref="AD32:AL32">
    <cfRule type="duplicateValues" dxfId="2544" priority="548"/>
  </conditionalFormatting>
  <conditionalFormatting sqref="Y37:AC37 T37:W37">
    <cfRule type="duplicateValues" dxfId="2543" priority="506"/>
  </conditionalFormatting>
  <conditionalFormatting sqref="T51:AB51">
    <cfRule type="duplicateValues" dxfId="2542" priority="505"/>
  </conditionalFormatting>
  <conditionalFormatting sqref="AD51:AL51">
    <cfRule type="duplicateValues" dxfId="2541" priority="504"/>
  </conditionalFormatting>
  <conditionalFormatting sqref="T70:AC70">
    <cfRule type="duplicateValues" dxfId="2540" priority="425"/>
  </conditionalFormatting>
  <conditionalFormatting sqref="D69">
    <cfRule type="duplicateValues" dxfId="2539" priority="423"/>
  </conditionalFormatting>
  <conditionalFormatting sqref="T72:AC72">
    <cfRule type="duplicateValues" dxfId="2538" priority="421"/>
  </conditionalFormatting>
  <conditionalFormatting sqref="T73:AC73">
    <cfRule type="duplicateValues" dxfId="2537" priority="420"/>
  </conditionalFormatting>
  <conditionalFormatting sqref="T74:AB74">
    <cfRule type="duplicateValues" dxfId="2536" priority="419"/>
  </conditionalFormatting>
  <conditionalFormatting sqref="AC74">
    <cfRule type="duplicateValues" dxfId="2535" priority="418"/>
  </conditionalFormatting>
  <conditionalFormatting sqref="AC75">
    <cfRule type="duplicateValues" dxfId="2534" priority="417"/>
  </conditionalFormatting>
  <conditionalFormatting sqref="T75:AB75">
    <cfRule type="duplicateValues" dxfId="2533" priority="416"/>
  </conditionalFormatting>
  <conditionalFormatting sqref="T77:AB77">
    <cfRule type="duplicateValues" dxfId="2532" priority="415"/>
  </conditionalFormatting>
  <conditionalFormatting sqref="AD77:AL77">
    <cfRule type="duplicateValues" dxfId="2531" priority="414"/>
  </conditionalFormatting>
  <conditionalFormatting sqref="D76">
    <cfRule type="duplicateValues" dxfId="2530" priority="413"/>
  </conditionalFormatting>
  <conditionalFormatting sqref="T78:AC78">
    <cfRule type="duplicateValues" dxfId="2529" priority="412"/>
  </conditionalFormatting>
  <conditionalFormatting sqref="T79:AB79">
    <cfRule type="duplicateValues" dxfId="2528" priority="406"/>
  </conditionalFormatting>
  <conditionalFormatting sqref="T80:AB80">
    <cfRule type="duplicateValues" dxfId="2527" priority="410"/>
  </conditionalFormatting>
  <conditionalFormatting sqref="T81:AB81">
    <cfRule type="duplicateValues" dxfId="2526" priority="405"/>
  </conditionalFormatting>
  <conditionalFormatting sqref="T82:AB82">
    <cfRule type="duplicateValues" dxfId="2525" priority="403"/>
  </conditionalFormatting>
  <conditionalFormatting sqref="U83:AB83">
    <cfRule type="duplicateValues" dxfId="2524" priority="402"/>
  </conditionalFormatting>
  <conditionalFormatting sqref="T83">
    <cfRule type="duplicateValues" dxfId="2523" priority="401"/>
  </conditionalFormatting>
  <conditionalFormatting sqref="T84:AB84">
    <cfRule type="duplicateValues" dxfId="2522" priority="400"/>
  </conditionalFormatting>
  <conditionalFormatting sqref="T85:AB85">
    <cfRule type="duplicateValues" dxfId="2521" priority="399"/>
  </conditionalFormatting>
  <conditionalFormatting sqref="T86:AB86">
    <cfRule type="duplicateValues" dxfId="2520" priority="398"/>
  </conditionalFormatting>
  <conditionalFormatting sqref="T87:AB87">
    <cfRule type="duplicateValues" dxfId="2519" priority="397"/>
  </conditionalFormatting>
  <conditionalFormatting sqref="T88:AB88">
    <cfRule type="duplicateValues" dxfId="2518" priority="396"/>
  </conditionalFormatting>
  <conditionalFormatting sqref="T90:AB90">
    <cfRule type="duplicateValues" dxfId="2517" priority="390"/>
  </conditionalFormatting>
  <conditionalFormatting sqref="T89:AB89">
    <cfRule type="duplicateValues" dxfId="2516" priority="411"/>
  </conditionalFormatting>
  <conditionalFormatting sqref="T91:AB92">
    <cfRule type="duplicateValues" dxfId="2515" priority="388"/>
  </conditionalFormatting>
  <conditionalFormatting sqref="AC92">
    <cfRule type="duplicateValues" dxfId="2514" priority="387"/>
  </conditionalFormatting>
  <conditionalFormatting sqref="T97:X97">
    <cfRule type="duplicateValues" dxfId="2513" priority="385"/>
  </conditionalFormatting>
  <conditionalFormatting sqref="T98:AB98">
    <cfRule type="duplicateValues" dxfId="2512" priority="367"/>
  </conditionalFormatting>
  <conditionalFormatting sqref="AD98:AG98">
    <cfRule type="duplicateValues" dxfId="2511" priority="365"/>
  </conditionalFormatting>
  <conditionalFormatting sqref="AH98:AL98">
    <cfRule type="duplicateValues" dxfId="2510" priority="364"/>
  </conditionalFormatting>
  <conditionalFormatting sqref="I13">
    <cfRule type="expression" dxfId="2509" priority="362">
      <formula>$N$13=2</formula>
    </cfRule>
    <cfRule type="expression" dxfId="2508" priority="363">
      <formula>$N$13=1</formula>
    </cfRule>
  </conditionalFormatting>
  <conditionalFormatting sqref="L13">
    <cfRule type="expression" dxfId="2507" priority="360">
      <formula>$N$13=1</formula>
    </cfRule>
    <cfRule type="expression" dxfId="2506" priority="361">
      <formula>$N$13=2</formula>
    </cfRule>
  </conditionalFormatting>
  <conditionalFormatting sqref="AC47">
    <cfRule type="duplicateValues" dxfId="2505" priority="144"/>
  </conditionalFormatting>
  <conditionalFormatting sqref="D67">
    <cfRule type="duplicateValues" dxfId="2504" priority="235"/>
  </conditionalFormatting>
  <conditionalFormatting sqref="D68">
    <cfRule type="duplicateValues" dxfId="2503" priority="236"/>
  </conditionalFormatting>
  <conditionalFormatting sqref="T71:AB71">
    <cfRule type="duplicateValues" dxfId="2502" priority="229"/>
  </conditionalFormatting>
  <conditionalFormatting sqref="AC71">
    <cfRule type="duplicateValues" dxfId="2501" priority="228"/>
  </conditionalFormatting>
  <conditionalFormatting sqref="C24:E24">
    <cfRule type="cellIs" dxfId="2500" priority="221" operator="equal">
      <formula>""</formula>
    </cfRule>
  </conditionalFormatting>
  <conditionalFormatting sqref="C25:E25">
    <cfRule type="cellIs" dxfId="2499" priority="220" operator="equal">
      <formula>""</formula>
    </cfRule>
  </conditionalFormatting>
  <conditionalFormatting sqref="C26:E26">
    <cfRule type="cellIs" dxfId="2498" priority="219" operator="equal">
      <formula>""</formula>
    </cfRule>
  </conditionalFormatting>
  <conditionalFormatting sqref="C27:E27">
    <cfRule type="cellIs" dxfId="2497" priority="218" operator="equal">
      <formula>""</formula>
    </cfRule>
  </conditionalFormatting>
  <conditionalFormatting sqref="I26:K26 I24:I25">
    <cfRule type="cellIs" dxfId="2496" priority="217" operator="equal">
      <formula>""</formula>
    </cfRule>
  </conditionalFormatting>
  <conditionalFormatting sqref="K7">
    <cfRule type="cellIs" dxfId="2495" priority="216" operator="equal">
      <formula>""</formula>
    </cfRule>
  </conditionalFormatting>
  <conditionalFormatting sqref="L100">
    <cfRule type="cellIs" dxfId="2494" priority="214" operator="equal">
      <formula>""</formula>
    </cfRule>
  </conditionalFormatting>
  <conditionalFormatting sqref="L99">
    <cfRule type="cellIs" dxfId="2493" priority="213" operator="equal">
      <formula>""</formula>
    </cfRule>
  </conditionalFormatting>
  <conditionalFormatting sqref="J21:K21">
    <cfRule type="expression" dxfId="2492" priority="208">
      <formula>$N$21=10</formula>
    </cfRule>
  </conditionalFormatting>
  <conditionalFormatting sqref="I21">
    <cfRule type="expression" dxfId="2491" priority="209">
      <formula>$N$21=10</formula>
    </cfRule>
  </conditionalFormatting>
  <conditionalFormatting sqref="AM32">
    <cfRule type="duplicateValues" dxfId="2490" priority="196"/>
  </conditionalFormatting>
  <conditionalFormatting sqref="T40:AB40 AD40:AL40">
    <cfRule type="duplicateValues" dxfId="2489" priority="190"/>
  </conditionalFormatting>
  <conditionalFormatting sqref="AC40">
    <cfRule type="duplicateValues" dxfId="2488" priority="189"/>
  </conditionalFormatting>
  <conditionalFormatting sqref="AD41:AL41 T41:AB41">
    <cfRule type="duplicateValues" dxfId="2487" priority="191"/>
  </conditionalFormatting>
  <conditionalFormatting sqref="T42:AL42">
    <cfRule type="duplicateValues" dxfId="2486" priority="192"/>
  </conditionalFormatting>
  <conditionalFormatting sqref="T43:AM43">
    <cfRule type="duplicateValues" dxfId="2485" priority="193"/>
  </conditionalFormatting>
  <conditionalFormatting sqref="AD45:AM45">
    <cfRule type="duplicateValues" dxfId="2484" priority="188"/>
  </conditionalFormatting>
  <conditionalFormatting sqref="T45:AC45">
    <cfRule type="duplicateValues" dxfId="2483" priority="194"/>
  </conditionalFormatting>
  <conditionalFormatting sqref="AD46:AL46">
    <cfRule type="duplicateValues" dxfId="2482" priority="187"/>
  </conditionalFormatting>
  <conditionalFormatting sqref="AC46">
    <cfRule type="duplicateValues" dxfId="2481" priority="186"/>
  </conditionalFormatting>
  <conditionalFormatting sqref="AM46">
    <cfRule type="duplicateValues" dxfId="2480" priority="185"/>
  </conditionalFormatting>
  <conditionalFormatting sqref="T46:AB46">
    <cfRule type="duplicateValues" dxfId="2479" priority="195"/>
  </conditionalFormatting>
  <conditionalFormatting sqref="T48">
    <cfRule type="duplicateValues" dxfId="2478" priority="184"/>
  </conditionalFormatting>
  <conditionalFormatting sqref="Y48">
    <cfRule type="duplicateValues" dxfId="2477" priority="183"/>
  </conditionalFormatting>
  <conditionalFormatting sqref="V48">
    <cfRule type="duplicateValues" dxfId="2476" priority="182"/>
  </conditionalFormatting>
  <conditionalFormatting sqref="U48">
    <cfRule type="duplicateValues" dxfId="2475" priority="181"/>
  </conditionalFormatting>
  <conditionalFormatting sqref="AA48">
    <cfRule type="duplicateValues" dxfId="2474" priority="180"/>
  </conditionalFormatting>
  <conditionalFormatting sqref="Z48">
    <cfRule type="duplicateValues" dxfId="2473" priority="179"/>
  </conditionalFormatting>
  <conditionalFormatting sqref="W48">
    <cfRule type="duplicateValues" dxfId="2472" priority="178"/>
  </conditionalFormatting>
  <conditionalFormatting sqref="T49">
    <cfRule type="duplicateValues" dxfId="2471" priority="177"/>
  </conditionalFormatting>
  <conditionalFormatting sqref="W49">
    <cfRule type="duplicateValues" dxfId="2470" priority="176"/>
  </conditionalFormatting>
  <conditionalFormatting sqref="V49">
    <cfRule type="duplicateValues" dxfId="2469" priority="175"/>
  </conditionalFormatting>
  <conditionalFormatting sqref="U49">
    <cfRule type="duplicateValues" dxfId="2468" priority="174"/>
  </conditionalFormatting>
  <conditionalFormatting sqref="Y49">
    <cfRule type="duplicateValues" dxfId="2467" priority="173"/>
  </conditionalFormatting>
  <conditionalFormatting sqref="AA49">
    <cfRule type="duplicateValues" dxfId="2466" priority="172"/>
  </conditionalFormatting>
  <conditionalFormatting sqref="Z49">
    <cfRule type="duplicateValues" dxfId="2465" priority="171"/>
  </conditionalFormatting>
  <conditionalFormatting sqref="T50">
    <cfRule type="duplicateValues" dxfId="2464" priority="170"/>
  </conditionalFormatting>
  <conditionalFormatting sqref="U50">
    <cfRule type="duplicateValues" dxfId="2463" priority="169"/>
  </conditionalFormatting>
  <conditionalFormatting sqref="V50">
    <cfRule type="duplicateValues" dxfId="2462" priority="168"/>
  </conditionalFormatting>
  <conditionalFormatting sqref="W50">
    <cfRule type="duplicateValues" dxfId="2461" priority="167"/>
  </conditionalFormatting>
  <conditionalFormatting sqref="X50">
    <cfRule type="duplicateValues" dxfId="2460" priority="166"/>
  </conditionalFormatting>
  <conditionalFormatting sqref="Y50">
    <cfRule type="duplicateValues" dxfId="2459" priority="165"/>
  </conditionalFormatting>
  <conditionalFormatting sqref="Z50">
    <cfRule type="duplicateValues" dxfId="2458" priority="164"/>
  </conditionalFormatting>
  <conditionalFormatting sqref="AA50">
    <cfRule type="duplicateValues" dxfId="2457" priority="163"/>
  </conditionalFormatting>
  <conditionalFormatting sqref="AB50">
    <cfRule type="duplicateValues" dxfId="2456" priority="162"/>
  </conditionalFormatting>
  <conditionalFormatting sqref="T44:AC44">
    <cfRule type="duplicateValues" dxfId="2455" priority="161"/>
  </conditionalFormatting>
  <conditionalFormatting sqref="AM44">
    <cfRule type="duplicateValues" dxfId="2454" priority="160"/>
  </conditionalFormatting>
  <conditionalFormatting sqref="AD44:AL44">
    <cfRule type="duplicateValues" dxfId="2453" priority="159"/>
  </conditionalFormatting>
  <conditionalFormatting sqref="T47">
    <cfRule type="duplicateValues" dxfId="2452" priority="158"/>
  </conditionalFormatting>
  <conditionalFormatting sqref="Y47">
    <cfRule type="duplicateValues" dxfId="2451" priority="157"/>
  </conditionalFormatting>
  <conditionalFormatting sqref="V47">
    <cfRule type="duplicateValues" dxfId="2450" priority="156"/>
  </conditionalFormatting>
  <conditionalFormatting sqref="U47">
    <cfRule type="duplicateValues" dxfId="2449" priority="155"/>
  </conditionalFormatting>
  <conditionalFormatting sqref="AA47">
    <cfRule type="duplicateValues" dxfId="2448" priority="154"/>
  </conditionalFormatting>
  <conditionalFormatting sqref="Z47">
    <cfRule type="duplicateValues" dxfId="2447" priority="153"/>
  </conditionalFormatting>
  <conditionalFormatting sqref="W47">
    <cfRule type="duplicateValues" dxfId="2446" priority="152"/>
  </conditionalFormatting>
  <conditionalFormatting sqref="X47">
    <cfRule type="duplicateValues" dxfId="2445" priority="151"/>
  </conditionalFormatting>
  <conditionalFormatting sqref="AB47">
    <cfRule type="duplicateValues" dxfId="2444" priority="150"/>
  </conditionalFormatting>
  <conditionalFormatting sqref="AB48">
    <cfRule type="duplicateValues" dxfId="2443" priority="149"/>
  </conditionalFormatting>
  <conditionalFormatting sqref="AB49">
    <cfRule type="duplicateValues" dxfId="2442" priority="148"/>
  </conditionalFormatting>
  <conditionalFormatting sqref="AC50">
    <cfRule type="duplicateValues" dxfId="2441" priority="147"/>
  </conditionalFormatting>
  <conditionalFormatting sqref="AC48">
    <cfRule type="duplicateValues" dxfId="2440" priority="146"/>
  </conditionalFormatting>
  <conditionalFormatting sqref="AC49">
    <cfRule type="duplicateValues" dxfId="2439" priority="145"/>
  </conditionalFormatting>
  <conditionalFormatting sqref="AM51">
    <cfRule type="duplicateValues" dxfId="2438" priority="143"/>
  </conditionalFormatting>
  <conditionalFormatting sqref="AD55:AM55">
    <cfRule type="duplicateValues" dxfId="2437" priority="139"/>
  </conditionalFormatting>
  <conditionalFormatting sqref="T55:AB55">
    <cfRule type="duplicateValues" dxfId="2436" priority="140"/>
  </conditionalFormatting>
  <conditionalFormatting sqref="AY55:BG55">
    <cfRule type="duplicateValues" dxfId="2435" priority="137"/>
  </conditionalFormatting>
  <conditionalFormatting sqref="AO55:AW55">
    <cfRule type="duplicateValues" dxfId="2434" priority="138"/>
  </conditionalFormatting>
  <conditionalFormatting sqref="BT55:CC55">
    <cfRule type="duplicateValues" dxfId="2433" priority="135"/>
  </conditionalFormatting>
  <conditionalFormatting sqref="BK55:BR55">
    <cfRule type="duplicateValues" dxfId="2432" priority="136"/>
  </conditionalFormatting>
  <conditionalFormatting sqref="CF55:CM55">
    <cfRule type="duplicateValues" dxfId="2431" priority="141"/>
  </conditionalFormatting>
  <conditionalFormatting sqref="CO55:CW55">
    <cfRule type="duplicateValues" dxfId="2430" priority="142"/>
  </conditionalFormatting>
  <conditionalFormatting sqref="DA55:DH55">
    <cfRule type="duplicateValues" dxfId="2429" priority="133"/>
  </conditionalFormatting>
  <conditionalFormatting sqref="DJ55:DR55">
    <cfRule type="duplicateValues" dxfId="2428" priority="134"/>
  </conditionalFormatting>
  <conditionalFormatting sqref="DV55:EC55">
    <cfRule type="duplicateValues" dxfId="2427" priority="132"/>
  </conditionalFormatting>
  <conditionalFormatting sqref="EQ55:EX55">
    <cfRule type="duplicateValues" dxfId="2426" priority="131"/>
  </conditionalFormatting>
  <conditionalFormatting sqref="EZ55:FH55">
    <cfRule type="duplicateValues" dxfId="2425" priority="130"/>
  </conditionalFormatting>
  <conditionalFormatting sqref="FL55:FS55">
    <cfRule type="duplicateValues" dxfId="2424" priority="129"/>
  </conditionalFormatting>
  <conditionalFormatting sqref="FU55:GC55">
    <cfRule type="duplicateValues" dxfId="2423" priority="128"/>
  </conditionalFormatting>
  <conditionalFormatting sqref="GG55:GN55">
    <cfRule type="duplicateValues" dxfId="2422" priority="127"/>
  </conditionalFormatting>
  <conditionalFormatting sqref="GP55:GX55">
    <cfRule type="duplicateValues" dxfId="2421" priority="126"/>
  </conditionalFormatting>
  <conditionalFormatting sqref="HB55:HI55">
    <cfRule type="duplicateValues" dxfId="2420" priority="125"/>
  </conditionalFormatting>
  <conditionalFormatting sqref="HK55:HS55">
    <cfRule type="duplicateValues" dxfId="2419" priority="124"/>
  </conditionalFormatting>
  <conditionalFormatting sqref="HW55:ID55">
    <cfRule type="duplicateValues" dxfId="2418" priority="123"/>
  </conditionalFormatting>
  <conditionalFormatting sqref="IF55:IN55">
    <cfRule type="duplicateValues" dxfId="2417" priority="122"/>
  </conditionalFormatting>
  <conditionalFormatting sqref="IR55:IY55">
    <cfRule type="duplicateValues" dxfId="2416" priority="121"/>
  </conditionalFormatting>
  <conditionalFormatting sqref="JA55:JI55">
    <cfRule type="duplicateValues" dxfId="2415" priority="120"/>
  </conditionalFormatting>
  <conditionalFormatting sqref="JM55:JT55">
    <cfRule type="duplicateValues" dxfId="2414" priority="119"/>
  </conditionalFormatting>
  <conditionalFormatting sqref="JV55:KD55">
    <cfRule type="duplicateValues" dxfId="2413" priority="118"/>
  </conditionalFormatting>
  <conditionalFormatting sqref="KH55:KO55">
    <cfRule type="duplicateValues" dxfId="2412" priority="117"/>
  </conditionalFormatting>
  <conditionalFormatting sqref="KQ55:KY55">
    <cfRule type="duplicateValues" dxfId="2411" priority="116"/>
  </conditionalFormatting>
  <conditionalFormatting sqref="LL55:LT55">
    <cfRule type="duplicateValues" dxfId="2410" priority="115"/>
  </conditionalFormatting>
  <conditionalFormatting sqref="LC55:LJ55">
    <cfRule type="duplicateValues" dxfId="2409" priority="114"/>
  </conditionalFormatting>
  <conditionalFormatting sqref="LX55:ME55">
    <cfRule type="duplicateValues" dxfId="2408" priority="113"/>
  </conditionalFormatting>
  <conditionalFormatting sqref="MG55:MO55">
    <cfRule type="duplicateValues" dxfId="2407" priority="112"/>
  </conditionalFormatting>
  <conditionalFormatting sqref="MS55:MZ55">
    <cfRule type="duplicateValues" dxfId="2406" priority="111"/>
  </conditionalFormatting>
  <conditionalFormatting sqref="NB55:NJ55">
    <cfRule type="duplicateValues" dxfId="2405" priority="110"/>
  </conditionalFormatting>
  <conditionalFormatting sqref="NN55:NU55">
    <cfRule type="duplicateValues" dxfId="2404" priority="109"/>
  </conditionalFormatting>
  <conditionalFormatting sqref="NW55:OE55">
    <cfRule type="duplicateValues" dxfId="2403" priority="108"/>
  </conditionalFormatting>
  <conditionalFormatting sqref="OI55:OP55">
    <cfRule type="duplicateValues" dxfId="2402" priority="107"/>
  </conditionalFormatting>
  <conditionalFormatting sqref="OR55:OZ55">
    <cfRule type="duplicateValues" dxfId="2401" priority="106"/>
  </conditionalFormatting>
  <conditionalFormatting sqref="PD55:PK55">
    <cfRule type="duplicateValues" dxfId="2400" priority="105"/>
  </conditionalFormatting>
  <conditionalFormatting sqref="PM55:PU55">
    <cfRule type="duplicateValues" dxfId="2399" priority="104"/>
  </conditionalFormatting>
  <conditionalFormatting sqref="PY55:QF55">
    <cfRule type="duplicateValues" dxfId="2398" priority="103"/>
  </conditionalFormatting>
  <conditionalFormatting sqref="QH55:QQ55">
    <cfRule type="duplicateValues" dxfId="2397" priority="102"/>
  </conditionalFormatting>
  <conditionalFormatting sqref="T56:AB56 AD56:AL56">
    <cfRule type="duplicateValues" dxfId="2396" priority="101"/>
  </conditionalFormatting>
  <conditionalFormatting sqref="BJ55">
    <cfRule type="duplicateValues" dxfId="2395" priority="100"/>
  </conditionalFormatting>
  <conditionalFormatting sqref="CE55">
    <cfRule type="duplicateValues" dxfId="2394" priority="99"/>
  </conditionalFormatting>
  <conditionalFormatting sqref="CZ55">
    <cfRule type="duplicateValues" dxfId="2393" priority="98"/>
  </conditionalFormatting>
  <conditionalFormatting sqref="DU55">
    <cfRule type="duplicateValues" dxfId="2392" priority="97"/>
  </conditionalFormatting>
  <conditionalFormatting sqref="EP55">
    <cfRule type="duplicateValues" dxfId="2391" priority="96"/>
  </conditionalFormatting>
  <conditionalFormatting sqref="FK55">
    <cfRule type="duplicateValues" dxfId="2390" priority="95"/>
  </conditionalFormatting>
  <conditionalFormatting sqref="GF55">
    <cfRule type="duplicateValues" dxfId="2389" priority="94"/>
  </conditionalFormatting>
  <conditionalFormatting sqref="HA55">
    <cfRule type="duplicateValues" dxfId="2388" priority="93"/>
  </conditionalFormatting>
  <conditionalFormatting sqref="HV55">
    <cfRule type="duplicateValues" dxfId="2387" priority="92"/>
  </conditionalFormatting>
  <conditionalFormatting sqref="IQ55">
    <cfRule type="duplicateValues" dxfId="2386" priority="91"/>
  </conditionalFormatting>
  <conditionalFormatting sqref="JL55">
    <cfRule type="duplicateValues" dxfId="2385" priority="90"/>
  </conditionalFormatting>
  <conditionalFormatting sqref="KG55">
    <cfRule type="duplicateValues" dxfId="2384" priority="89"/>
  </conditionalFormatting>
  <conditionalFormatting sqref="LB55">
    <cfRule type="duplicateValues" dxfId="2383" priority="88"/>
  </conditionalFormatting>
  <conditionalFormatting sqref="LW55">
    <cfRule type="duplicateValues" dxfId="2382" priority="87"/>
  </conditionalFormatting>
  <conditionalFormatting sqref="MR55">
    <cfRule type="duplicateValues" dxfId="2381" priority="86"/>
  </conditionalFormatting>
  <conditionalFormatting sqref="NM55">
    <cfRule type="duplicateValues" dxfId="2380" priority="85"/>
  </conditionalFormatting>
  <conditionalFormatting sqref="OH55">
    <cfRule type="duplicateValues" dxfId="2379" priority="84"/>
  </conditionalFormatting>
  <conditionalFormatting sqref="PC55">
    <cfRule type="duplicateValues" dxfId="2378" priority="83"/>
  </conditionalFormatting>
  <conditionalFormatting sqref="PX55">
    <cfRule type="duplicateValues" dxfId="2377" priority="82"/>
  </conditionalFormatting>
  <conditionalFormatting sqref="AO56:AW56 AY56:BG56">
    <cfRule type="duplicateValues" dxfId="2376" priority="81"/>
  </conditionalFormatting>
  <conditionalFormatting sqref="BJ56:BR56 BT56:CB56">
    <cfRule type="duplicateValues" dxfId="2375" priority="80"/>
  </conditionalFormatting>
  <conditionalFormatting sqref="CE56:CM56 DJ56:DR56">
    <cfRule type="duplicateValues" dxfId="2374" priority="79"/>
  </conditionalFormatting>
  <conditionalFormatting sqref="DU56:EC56 EE56:EM56">
    <cfRule type="duplicateValues" dxfId="2373" priority="78"/>
  </conditionalFormatting>
  <conditionalFormatting sqref="EP56:EX56 EZ56:FH56">
    <cfRule type="duplicateValues" dxfId="2372" priority="77"/>
  </conditionalFormatting>
  <conditionalFormatting sqref="FK56:FS56 FU56:GC56">
    <cfRule type="duplicateValues" dxfId="2371" priority="76"/>
  </conditionalFormatting>
  <conditionalFormatting sqref="T58:AC58">
    <cfRule type="duplicateValues" dxfId="2370" priority="75"/>
  </conditionalFormatting>
  <conditionalFormatting sqref="T60:AC60">
    <cfRule type="duplicateValues" dxfId="2369" priority="74"/>
  </conditionalFormatting>
  <conditionalFormatting sqref="T61:AC61 AC62:AC64">
    <cfRule type="duplicateValues" dxfId="2368" priority="73"/>
  </conditionalFormatting>
  <conditionalFormatting sqref="T62:AB62">
    <cfRule type="duplicateValues" dxfId="2367" priority="72"/>
  </conditionalFormatting>
  <conditionalFormatting sqref="AC62">
    <cfRule type="duplicateValues" dxfId="2366" priority="71"/>
  </conditionalFormatting>
  <conditionalFormatting sqref="T63:AB63">
    <cfRule type="duplicateValues" dxfId="2365" priority="70"/>
  </conditionalFormatting>
  <conditionalFormatting sqref="AC63">
    <cfRule type="duplicateValues" dxfId="2364" priority="69"/>
  </conditionalFormatting>
  <conditionalFormatting sqref="T66:AB66">
    <cfRule type="duplicateValues" dxfId="2363" priority="68"/>
  </conditionalFormatting>
  <conditionalFormatting sqref="AC66">
    <cfRule type="duplicateValues" dxfId="2362" priority="67"/>
  </conditionalFormatting>
  <conditionalFormatting sqref="T59:AC59">
    <cfRule type="duplicateValues" dxfId="2361" priority="66"/>
  </conditionalFormatting>
  <conditionalFormatting sqref="T64:AB64">
    <cfRule type="duplicateValues" dxfId="2360" priority="65"/>
  </conditionalFormatting>
  <conditionalFormatting sqref="AC64">
    <cfRule type="duplicateValues" dxfId="2359" priority="64"/>
  </conditionalFormatting>
  <conditionalFormatting sqref="T65:AB65">
    <cfRule type="duplicateValues" dxfId="2358" priority="63"/>
  </conditionalFormatting>
  <conditionalFormatting sqref="AC65">
    <cfRule type="duplicateValues" dxfId="2357" priority="62"/>
  </conditionalFormatting>
  <conditionalFormatting sqref="AC54">
    <cfRule type="duplicateValues" dxfId="2356" priority="60"/>
  </conditionalFormatting>
  <conditionalFormatting sqref="T54:AB54">
    <cfRule type="duplicateValues" dxfId="2355" priority="61"/>
  </conditionalFormatting>
  <conditionalFormatting sqref="EE55:EM55">
    <cfRule type="duplicateValues" dxfId="2354" priority="59"/>
  </conditionalFormatting>
  <conditionalFormatting sqref="CO56:CW56">
    <cfRule type="duplicateValues" dxfId="2353" priority="58"/>
  </conditionalFormatting>
  <conditionalFormatting sqref="T57:AB57 AD57:AM57">
    <cfRule type="duplicateValues" dxfId="2352" priority="57"/>
  </conditionalFormatting>
  <conditionalFormatting sqref="AO57:AW57 AY57:BH57">
    <cfRule type="duplicateValues" dxfId="2351" priority="56"/>
  </conditionalFormatting>
  <conditionalFormatting sqref="BJ57:BR57 BT57:CC57">
    <cfRule type="duplicateValues" dxfId="2350" priority="55"/>
  </conditionalFormatting>
  <conditionalFormatting sqref="CE57:CM57 DJ57:DS57">
    <cfRule type="duplicateValues" dxfId="2349" priority="54"/>
  </conditionalFormatting>
  <conditionalFormatting sqref="DU57:EC57 EE57:EN57">
    <cfRule type="duplicateValues" dxfId="2348" priority="53"/>
  </conditionalFormatting>
  <conditionalFormatting sqref="CO57:CX57">
    <cfRule type="duplicateValues" dxfId="2347" priority="52"/>
  </conditionalFormatting>
  <conditionalFormatting sqref="AM54">
    <cfRule type="duplicateValues" dxfId="2346" priority="50"/>
  </conditionalFormatting>
  <conditionalFormatting sqref="AD54:AL54">
    <cfRule type="duplicateValues" dxfId="2345" priority="51"/>
  </conditionalFormatting>
  <conditionalFormatting sqref="AM56">
    <cfRule type="duplicateValues" dxfId="2344" priority="49"/>
  </conditionalFormatting>
  <conditionalFormatting sqref="BH55">
    <cfRule type="duplicateValues" dxfId="2343" priority="48"/>
  </conditionalFormatting>
  <conditionalFormatting sqref="BH56">
    <cfRule type="duplicateValues" dxfId="2342" priority="47"/>
  </conditionalFormatting>
  <conditionalFormatting sqref="CC56">
    <cfRule type="duplicateValues" dxfId="2341" priority="46"/>
  </conditionalFormatting>
  <conditionalFormatting sqref="CX55">
    <cfRule type="duplicateValues" dxfId="2340" priority="45"/>
  </conditionalFormatting>
  <conditionalFormatting sqref="CX56">
    <cfRule type="duplicateValues" dxfId="2339" priority="44"/>
  </conditionalFormatting>
  <conditionalFormatting sqref="DS55">
    <cfRule type="duplicateValues" dxfId="2338" priority="43"/>
  </conditionalFormatting>
  <conditionalFormatting sqref="DS56">
    <cfRule type="duplicateValues" dxfId="2337" priority="42"/>
  </conditionalFormatting>
  <conditionalFormatting sqref="EN55">
    <cfRule type="duplicateValues" dxfId="2336" priority="41"/>
  </conditionalFormatting>
  <conditionalFormatting sqref="EN56">
    <cfRule type="duplicateValues" dxfId="2335" priority="40"/>
  </conditionalFormatting>
  <conditionalFormatting sqref="FI55">
    <cfRule type="duplicateValues" dxfId="2334" priority="39"/>
  </conditionalFormatting>
  <conditionalFormatting sqref="FI56">
    <cfRule type="duplicateValues" dxfId="2333" priority="38"/>
  </conditionalFormatting>
  <conditionalFormatting sqref="GD55">
    <cfRule type="duplicateValues" dxfId="2332" priority="37"/>
  </conditionalFormatting>
  <conditionalFormatting sqref="GD56">
    <cfRule type="duplicateValues" dxfId="2331" priority="36"/>
  </conditionalFormatting>
  <conditionalFormatting sqref="PV55">
    <cfRule type="duplicateValues" dxfId="2330" priority="35"/>
  </conditionalFormatting>
  <conditionalFormatting sqref="PA55">
    <cfRule type="duplicateValues" dxfId="2329" priority="34"/>
  </conditionalFormatting>
  <conditionalFormatting sqref="OF55">
    <cfRule type="duplicateValues" dxfId="2328" priority="33"/>
  </conditionalFormatting>
  <conditionalFormatting sqref="NK55">
    <cfRule type="duplicateValues" dxfId="2327" priority="32"/>
  </conditionalFormatting>
  <conditionalFormatting sqref="MP55">
    <cfRule type="duplicateValues" dxfId="2326" priority="31"/>
  </conditionalFormatting>
  <conditionalFormatting sqref="LU55">
    <cfRule type="duplicateValues" dxfId="2325" priority="30"/>
  </conditionalFormatting>
  <conditionalFormatting sqref="KZ55">
    <cfRule type="duplicateValues" dxfId="2324" priority="29"/>
  </conditionalFormatting>
  <conditionalFormatting sqref="KE55">
    <cfRule type="duplicateValues" dxfId="2323" priority="28"/>
  </conditionalFormatting>
  <conditionalFormatting sqref="JJ55">
    <cfRule type="duplicateValues" dxfId="2322" priority="27"/>
  </conditionalFormatting>
  <conditionalFormatting sqref="IO55">
    <cfRule type="duplicateValues" dxfId="2321" priority="26"/>
  </conditionalFormatting>
  <conditionalFormatting sqref="HT55">
    <cfRule type="duplicateValues" dxfId="2320" priority="25"/>
  </conditionalFormatting>
  <conditionalFormatting sqref="GY55">
    <cfRule type="duplicateValues" dxfId="2319" priority="24"/>
  </conditionalFormatting>
  <conditionalFormatting sqref="AC79">
    <cfRule type="duplicateValues" dxfId="2318" priority="20"/>
  </conditionalFormatting>
  <conditionalFormatting sqref="AC81">
    <cfRule type="duplicateValues" dxfId="2317" priority="19"/>
  </conditionalFormatting>
  <conditionalFormatting sqref="AC82">
    <cfRule type="duplicateValues" dxfId="2316" priority="18"/>
  </conditionalFormatting>
  <conditionalFormatting sqref="AC80">
    <cfRule type="duplicateValues" dxfId="2315" priority="17"/>
  </conditionalFormatting>
  <conditionalFormatting sqref="AC83">
    <cfRule type="duplicateValues" dxfId="2314" priority="15"/>
  </conditionalFormatting>
  <conditionalFormatting sqref="AC84">
    <cfRule type="duplicateValues" dxfId="2313" priority="14"/>
  </conditionalFormatting>
  <conditionalFormatting sqref="AC85">
    <cfRule type="duplicateValues" dxfId="2312" priority="13"/>
  </conditionalFormatting>
  <conditionalFormatting sqref="AC86">
    <cfRule type="duplicateValues" dxfId="2311" priority="12"/>
  </conditionalFormatting>
  <conditionalFormatting sqref="AC87">
    <cfRule type="duplicateValues" dxfId="2310" priority="11"/>
  </conditionalFormatting>
  <conditionalFormatting sqref="AC88">
    <cfRule type="duplicateValues" dxfId="2309" priority="10"/>
  </conditionalFormatting>
  <conditionalFormatting sqref="AC90">
    <cfRule type="duplicateValues" dxfId="2308" priority="9"/>
  </conditionalFormatting>
  <conditionalFormatting sqref="AC89">
    <cfRule type="duplicateValues" dxfId="2307" priority="16"/>
  </conditionalFormatting>
  <conditionalFormatting sqref="AC91">
    <cfRule type="duplicateValues" dxfId="2306" priority="8"/>
  </conditionalFormatting>
  <conditionalFormatting sqref="AM98">
    <cfRule type="duplicateValues" dxfId="2305" priority="6"/>
  </conditionalFormatting>
  <conditionalFormatting sqref="AC98">
    <cfRule type="duplicateValues" dxfId="2304" priority="5"/>
  </conditionalFormatting>
  <conditionalFormatting sqref="A52:A53">
    <cfRule type="cellIs" dxfId="2303" priority="4" operator="equal">
      <formula>""</formula>
    </cfRule>
  </conditionalFormatting>
  <conditionalFormatting sqref="T52:AB53">
    <cfRule type="duplicateValues" dxfId="2302" priority="3"/>
  </conditionalFormatting>
  <conditionalFormatting sqref="AD52:AL53">
    <cfRule type="duplicateValues" dxfId="2301" priority="2"/>
  </conditionalFormatting>
  <conditionalFormatting sqref="AM52:AM53">
    <cfRule type="duplicateValues" dxfId="230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350520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350520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7" name="Option Button 1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8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1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2" r:id="rId11" name="Group Box 32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3" r:id="rId12" name="Option Button 33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4" r:id="rId13" name="Option Button 34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0" r:id="rId14" name="Group Box 60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1" r:id="rId15" name="Option Button 6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2" r:id="rId16" name="Option Button 6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3" r:id="rId17" name="Option Button 6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4" r:id="rId18" name="Option Button 6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5" r:id="rId19" name="Option Button 6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6" r:id="rId20" name="Option Button 6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7" r:id="rId21" name="Option Button 6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8" r:id="rId22" name="Option Button 6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9" r:id="rId23" name="Option Button 6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0" r:id="rId24" name="Option Button 70">
              <controlPr defaultSize="0" autoFill="0" autoLine="0" autoPict="0" altText="">
                <anchor moveWithCells="1">
                  <from>
                    <xdr:col>12</xdr:col>
                    <xdr:colOff>144780</xdr:colOff>
                    <xdr:row>14</xdr:row>
                    <xdr:rowOff>106680</xdr:rowOff>
                  </from>
                  <to>
                    <xdr:col>12</xdr:col>
                    <xdr:colOff>182880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1" r:id="rId25" name="Option Button 7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3" id="{DF8230CE-ADD9-4E9A-AA40-D631286C717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572" id="{B33BFCB1-BF57-4BA4-A60B-D7F6F2F3E0DE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571" id="{FDEA581F-A08F-4CF0-935D-29003DC6FFDC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70" id="{5054827F-3F89-4F5E-BD3C-14A0D9FF51E8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569" id="{4343E594-C9CD-412F-B810-C27CB2A1BE1A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564" id="{0B44622C-2AAD-43A2-8797-E5B0772DCAF5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63" id="{2763897B-9085-4785-A47A-0821D8E56D8D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61" id="{824E9F3A-CCEA-4B72-A9ED-6B6AB71B01F9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2" id="{04CB2AD0-E621-4AA4-BD27-2132A7C05134}">
            <xm:f>DP!$N$21=10</xm:f>
            <x14:dxf>
              <font>
                <color auto="1"/>
              </font>
            </x14:dxf>
          </x14:cfRule>
          <xm:sqref>I22</xm:sqref>
        </x14:conditionalFormatting>
        <x14:conditionalFormatting xmlns:xm="http://schemas.microsoft.com/office/excel/2006/main">
          <x14:cfRule type="expression" priority="204" id="{9A771202-9AC5-4F99-A14F-C3E93D40750B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03" id="{AB5BB894-6368-4851-8AA2-2BAE05FC9A18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02" id="{704F4A09-9745-425D-940F-F36B6A08E07F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200-000000000000}">
          <x14:formula1>
            <xm:f>Formeln!$A$27:$A$48</xm:f>
          </x14:formula1>
          <xm:sqref>J55:K55</xm:sqref>
        </x14:dataValidation>
        <x14:dataValidation type="list" allowBlank="1" showInputMessage="1" showErrorMessage="1" xr:uid="{00000000-0002-0000-0200-000001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200-000002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200-000003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200-000004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200-000005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200-000006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200-000007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200-000008000000}">
          <x14:formula1>
            <xm:f>Formeln!$A$49:$A$100</xm:f>
          </x14:formula1>
          <xm:sqref>J56:K56</xm:sqref>
        </x14:dataValidation>
        <x14:dataValidation type="list" allowBlank="1" showInputMessage="1" showErrorMessage="1" xr:uid="{00000000-0002-0000-0200-000009000000}">
          <x14:formula1>
            <xm:f>Formeln!$C$49:$C$108</xm:f>
          </x14:formula1>
          <xm:sqref>J57:K57</xm:sqref>
        </x14:dataValidation>
        <x14:dataValidation type="list" allowBlank="1" showInputMessage="1" showErrorMessage="1" xr:uid="{00000000-0002-0000-02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/>
  <dimension ref="A1:QR123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10.6640625" style="1" customWidth="1"/>
    <col min="14" max="14" width="2.6640625" style="5" customWidth="1"/>
    <col min="15" max="15" width="30.6640625" style="9" hidden="1" customWidth="1"/>
    <col min="16" max="16" width="25.6640625" style="9" hidden="1" customWidth="1"/>
    <col min="17" max="17" width="25.6640625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VLOOKUP("DACHSCHINDEL DS.19",Sprachindex!A:Z,Info!$O$6,FALSE)</f>
        <v>DACHSCHINDEL DS.19</v>
      </c>
    </row>
    <row r="3" spans="1:17" ht="15" customHeight="1"/>
    <row r="4" spans="1:17" ht="17.25" customHeight="1">
      <c r="J4" s="107" t="str">
        <f>VLOOKUP("RETOURNIERUNG PER FAX:",Sprachindex!A:Z,Info!$O$6,FALSE)</f>
        <v>RETOURNIERUNG PER FAX:</v>
      </c>
      <c r="K4" s="254"/>
      <c r="L4" s="255"/>
      <c r="M4" s="256"/>
      <c r="Q4" s="3"/>
    </row>
    <row r="5" spans="1:17" ht="17.25" customHeight="1">
      <c r="J5" s="107" t="str">
        <f>VLOOKUP("ODER EMAIL:",Sprachindex!A:Z,Info!$O$6,FALSE)</f>
        <v>ODER EMAIL:</v>
      </c>
      <c r="K5" s="254"/>
      <c r="L5" s="255"/>
      <c r="M5" s="256"/>
      <c r="Q5" s="3"/>
    </row>
    <row r="6" spans="1:17" ht="17.25" customHeight="1">
      <c r="J6" s="107" t="str">
        <f>VLOOKUP("Datum:",Sprachindex!A:Z,Info!$O$6,FALSE)</f>
        <v>Datum:</v>
      </c>
      <c r="K6" s="254"/>
      <c r="L6" s="255"/>
      <c r="M6" s="256"/>
      <c r="N6" s="54">
        <v>1</v>
      </c>
      <c r="Q6" s="3"/>
    </row>
    <row r="7" spans="1:17" ht="17.25" customHeight="1">
      <c r="J7" s="107" t="str">
        <f>VLOOKUP("Bestellnummer:",Sprachindex!A:Z,Info!$O$6,FALSE)</f>
        <v>Bestellnummer:</v>
      </c>
      <c r="K7" s="254"/>
      <c r="L7" s="255"/>
      <c r="M7" s="256"/>
      <c r="N7" s="54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P8" s="10"/>
    </row>
    <row r="9" spans="1:17" ht="15" customHeight="1"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N9" s="55"/>
      <c r="O9" s="11"/>
      <c r="Q9" s="4"/>
    </row>
    <row r="10" spans="1:17" ht="15" customHeight="1"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112"/>
      <c r="J10" s="87">
        <v>1</v>
      </c>
      <c r="K10" s="86"/>
      <c r="L10" s="86"/>
      <c r="Q10" s="4"/>
    </row>
    <row r="11" spans="1:17" ht="15" customHeight="1"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N11" s="55"/>
      <c r="O11" s="11"/>
      <c r="Q11" s="4"/>
    </row>
    <row r="12" spans="1:17" ht="15" customHeight="1"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</row>
    <row r="13" spans="1:17" ht="15" customHeight="1"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N13" s="54"/>
      <c r="O13" s="12"/>
      <c r="Q13" s="4"/>
    </row>
    <row r="14" spans="1:17" ht="15" customHeight="1"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Q14" s="4"/>
    </row>
    <row r="15" spans="1:17" ht="15" customHeight="1"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Q15" s="4"/>
    </row>
    <row r="16" spans="1:17" ht="15" customHeight="1"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</row>
    <row r="17" spans="1:3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P17" s="10"/>
    </row>
    <row r="18" spans="1:39" ht="15" customHeight="1"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N18" s="14"/>
      <c r="Q18" s="4"/>
    </row>
    <row r="19" spans="1:39" ht="15" customHeight="1"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Q19" s="4"/>
    </row>
    <row r="20" spans="1:39" ht="15" customHeight="1"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Q20" s="4"/>
      <c r="S20" s="36"/>
      <c r="T20" s="36"/>
    </row>
    <row r="21" spans="1:39" ht="15" customHeight="1"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N21" s="54"/>
      <c r="Q21" s="4"/>
    </row>
    <row r="22" spans="1:39" ht="15" customHeight="1"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N22" s="54"/>
      <c r="Q22" s="4"/>
    </row>
    <row r="23" spans="1:39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54"/>
      <c r="Q24" s="4"/>
    </row>
    <row r="25" spans="1:39" ht="15" customHeight="1"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54"/>
      <c r="Q25" s="4"/>
    </row>
    <row r="26" spans="1:39" ht="15" customHeight="1"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91"/>
      <c r="J26" s="280"/>
      <c r="K26" s="281"/>
      <c r="L26" s="86"/>
      <c r="M26" s="86"/>
      <c r="N26" s="54"/>
      <c r="Q26" s="4"/>
    </row>
    <row r="27" spans="1:39" ht="15" customHeight="1">
      <c r="B27" s="283"/>
      <c r="C27" s="254"/>
      <c r="D27" s="255"/>
      <c r="E27" s="256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Q28" s="4"/>
    </row>
    <row r="29" spans="1:39" s="86" customFormat="1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N29" s="87"/>
      <c r="P29" s="282" t="s">
        <v>24</v>
      </c>
      <c r="Q29" s="282"/>
    </row>
    <row r="30" spans="1:39" s="86" customFormat="1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N30" s="87"/>
      <c r="P30" s="212" t="s">
        <v>27</v>
      </c>
      <c r="Q30" s="212" t="s">
        <v>28</v>
      </c>
      <c r="T30" s="121" t="s">
        <v>29</v>
      </c>
      <c r="U30" s="121" t="s">
        <v>30</v>
      </c>
      <c r="V30" s="121" t="s">
        <v>31</v>
      </c>
      <c r="W30" s="121" t="s">
        <v>32</v>
      </c>
      <c r="X30" s="121" t="s">
        <v>33</v>
      </c>
      <c r="Y30" s="121" t="s">
        <v>34</v>
      </c>
      <c r="Z30" s="121" t="s">
        <v>35</v>
      </c>
      <c r="AA30" s="121" t="s">
        <v>36</v>
      </c>
      <c r="AB30" s="121" t="s">
        <v>37</v>
      </c>
      <c r="AC30" s="121" t="s">
        <v>38</v>
      </c>
      <c r="AD30" s="121" t="s">
        <v>29</v>
      </c>
      <c r="AE30" s="121" t="s">
        <v>30</v>
      </c>
      <c r="AF30" s="121" t="s">
        <v>31</v>
      </c>
      <c r="AG30" s="121" t="s">
        <v>32</v>
      </c>
      <c r="AH30" s="121" t="s">
        <v>33</v>
      </c>
      <c r="AI30" s="121" t="s">
        <v>34</v>
      </c>
      <c r="AJ30" s="121" t="s">
        <v>35</v>
      </c>
      <c r="AK30" s="121" t="s">
        <v>36</v>
      </c>
      <c r="AL30" s="121" t="s">
        <v>37</v>
      </c>
      <c r="AM30" s="121" t="s">
        <v>38</v>
      </c>
    </row>
    <row r="31" spans="1:39" ht="32.1" customHeight="1">
      <c r="A31" s="118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VLOOKUP("Dachschindel DS.19",Sprachindex!A:Z,Info!$O$6,FALSE)</f>
        <v>DACHSCHINDEL DS.19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213" t="str">
        <f>ROUNDUP($A31/5,0)*5&amp;" " &amp; Formeln!$A$110 &amp; "                     "  &amp; "(="&amp;ROUNDUP($A31/5,0)*5*8&amp; " " &amp; Formeln!$A$111 &amp; ")"</f>
        <v>0 m²                     (=0 STK)</v>
      </c>
      <c r="Q31" s="214" t="str">
        <f>ROUNDUP($A31/1,0)*1 &amp;" " &amp; Formeln!$A$110 &amp; "                          (="&amp;ROUNDUP($A31,0)*8&amp;" " &amp; Formeln!$A$111 &amp; ")"</f>
        <v>0 m²                          (=0 STK)</v>
      </c>
      <c r="T31" s="46">
        <v>112620</v>
      </c>
      <c r="U31" s="46">
        <v>112621</v>
      </c>
      <c r="V31" s="46">
        <v>112622</v>
      </c>
      <c r="W31" s="46">
        <v>112623</v>
      </c>
      <c r="X31" s="46">
        <v>112624</v>
      </c>
      <c r="Y31" s="46">
        <v>112625</v>
      </c>
      <c r="Z31" s="46">
        <v>112626</v>
      </c>
      <c r="AA31" s="46">
        <v>112627</v>
      </c>
      <c r="AB31" s="46">
        <v>112628</v>
      </c>
      <c r="AD31" s="46">
        <v>112600</v>
      </c>
      <c r="AE31" s="46">
        <v>112601</v>
      </c>
      <c r="AF31" s="46">
        <v>112602</v>
      </c>
      <c r="AG31" s="46">
        <v>112603</v>
      </c>
      <c r="AH31" s="46">
        <v>112604</v>
      </c>
      <c r="AI31" s="46">
        <v>112605</v>
      </c>
      <c r="AJ31" s="46">
        <v>112606</v>
      </c>
      <c r="AK31" s="46">
        <v>112607</v>
      </c>
      <c r="AL31" s="46">
        <v>112608</v>
      </c>
      <c r="AM31" s="46">
        <v>112609</v>
      </c>
    </row>
    <row r="32" spans="1:39" ht="32.1" customHeight="1">
      <c r="A32" s="118"/>
      <c r="B32" s="96" t="str">
        <f>VLOOKUP("Stk",Sprachindex!A:Z,Info!$O$6,FALSE)</f>
        <v>STK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0" t="str">
        <f>VLOOKUP("Passschindel für Anschlüsse (245 x 262 mm)",Sprachindex!A:Z,Info!$O$6,FALSE)</f>
        <v>Passschindel für Anschlüsse (245 x 262 mm)</v>
      </c>
      <c r="F32" s="251"/>
      <c r="G32" s="251"/>
      <c r="H32" s="251"/>
      <c r="I32" s="251"/>
      <c r="J32" s="251"/>
      <c r="K32" s="257"/>
      <c r="L32" s="96" t="str">
        <f t="shared" ref="L32:L70" si="0">IF(A32=0,"",IF($N$11=1,P32,Q32))</f>
        <v/>
      </c>
      <c r="M32" s="97"/>
      <c r="O32" s="1"/>
      <c r="P32" s="191" t="str">
        <f>ROUNDUP($A32/16,0)*16 &amp; " " &amp; Formeln!$A$111</f>
        <v>0 STK</v>
      </c>
      <c r="Q32" s="191" t="str">
        <f>ROUNDUP($A32,0) &amp;" " &amp; Formeln!$A$111</f>
        <v>0 STK</v>
      </c>
      <c r="T32" s="46">
        <v>112660</v>
      </c>
      <c r="U32" s="46">
        <v>112661</v>
      </c>
      <c r="V32" s="46">
        <v>112662</v>
      </c>
      <c r="W32" s="46">
        <v>112663</v>
      </c>
      <c r="X32" s="46">
        <v>112664</v>
      </c>
      <c r="Y32" s="46">
        <v>112665</v>
      </c>
      <c r="Z32" s="46">
        <v>112666</v>
      </c>
      <c r="AA32" s="46">
        <v>112667</v>
      </c>
      <c r="AB32" s="46">
        <v>112668</v>
      </c>
      <c r="AD32" s="46">
        <v>112640</v>
      </c>
      <c r="AE32" s="46">
        <v>112641</v>
      </c>
      <c r="AF32" s="46">
        <v>112642</v>
      </c>
      <c r="AG32" s="46">
        <v>112643</v>
      </c>
      <c r="AH32" s="46">
        <v>112644</v>
      </c>
      <c r="AI32" s="46">
        <v>112645</v>
      </c>
      <c r="AJ32" s="46">
        <v>112646</v>
      </c>
      <c r="AK32" s="46">
        <v>112647</v>
      </c>
      <c r="AL32" s="46">
        <v>112648</v>
      </c>
      <c r="AM32" s="46">
        <v>112649</v>
      </c>
    </row>
    <row r="33" spans="1:39" ht="32.1" customHeight="1">
      <c r="A33" s="118"/>
      <c r="B33" s="96" t="str">
        <f>VLOOKUP("Stk",Sprachindex!A:Z,Info!$O$6,FALSE)</f>
        <v>STK</v>
      </c>
      <c r="C33" s="95"/>
      <c r="D33" s="95">
        <v>505001</v>
      </c>
      <c r="E33" s="250" t="str">
        <f>VLOOKUP("Patenthaft, für Platte, Schindel und DS.19",Sprachindex!A:Z,Info!$O$6,FALSE)</f>
        <v>Patenthaft, für Platte, Schindel und DS.19</v>
      </c>
      <c r="F33" s="251"/>
      <c r="G33" s="251"/>
      <c r="H33" s="251"/>
      <c r="I33" s="251"/>
      <c r="J33" s="251"/>
      <c r="K33" s="257"/>
      <c r="L33" s="96" t="str">
        <f t="shared" si="0"/>
        <v/>
      </c>
      <c r="M33" s="97"/>
      <c r="O33" s="1"/>
      <c r="P33" s="191" t="str">
        <f>ROUNDUP($A33/840,0)*840 &amp; " " &amp; Formeln!$A$111</f>
        <v>0 STK</v>
      </c>
      <c r="Q33" s="191" t="str">
        <f>ROUNDUP($A33,0) &amp;" " &amp; Formeln!$A$111</f>
        <v>0 STK</v>
      </c>
    </row>
    <row r="34" spans="1:39" ht="32.1" customHeight="1">
      <c r="A34" s="118"/>
      <c r="B34" s="96" t="str">
        <f>VLOOKUP("lfm",Sprachindex!A:Z,Info!$O$6,FALSE)</f>
        <v>lfm</v>
      </c>
      <c r="C34" s="95"/>
      <c r="D34" s="99">
        <v>562005</v>
      </c>
      <c r="E34" s="250" t="str">
        <f>VLOOKUP("Saumstreifen 1x158x1800mm ",Sprachindex!A:Z,Info!$O$6,FALSE)</f>
        <v xml:space="preserve">Saumstreifen 1x158x1800mm </v>
      </c>
      <c r="F34" s="251"/>
      <c r="G34" s="251"/>
      <c r="H34" s="251"/>
      <c r="I34" s="251"/>
      <c r="J34" s="251"/>
      <c r="K34" s="257"/>
      <c r="L34" s="96" t="str">
        <f t="shared" si="0"/>
        <v/>
      </c>
      <c r="M34" s="97"/>
      <c r="O34" s="1"/>
      <c r="P34" s="189" t="str">
        <f>ROUNDUP($A34/1.8,0)*1.8 &amp; " " &amp; Formeln!$A$112 &amp; "                     " &amp; "(="&amp;ROUNDUP($A34/1.8,0)&amp; " " &amp; Formeln!$A$111 &amp; ")"</f>
        <v>0 lfm                     (=0 STK)</v>
      </c>
      <c r="Q34" s="189" t="str">
        <f>ROUNDUP($A34/1.8,0)*1.8 &amp; " " &amp; Formeln!$A$112 &amp; "                     " &amp; "(="&amp;ROUNDUP($A34/1.8,0) &amp;" " &amp; Formeln!$A$111 &amp; ")"</f>
        <v>0 lfm                     (=0 STK)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0" t="str">
        <f>VLOOKUP("Rillennägel, verzinkt",Sprachindex!A:Z,Info!$O$6,FALSE)</f>
        <v>Rillennägel, verzinkt</v>
      </c>
      <c r="F35" s="251"/>
      <c r="G35" s="251"/>
      <c r="H35" s="252"/>
      <c r="I35" s="267"/>
      <c r="J35" s="267"/>
      <c r="K35" s="253"/>
      <c r="L35" s="96" t="str">
        <f t="shared" si="0"/>
        <v/>
      </c>
      <c r="M35" s="97"/>
      <c r="O35" s="1"/>
      <c r="P35" s="190" t="str">
        <f>IF(OR($H35=Formeln!$A$2,$H35=Formeln!$A2),ROUNDUP($A35/2.5,0)*2.5&amp;"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STK</v>
      </c>
      <c r="Q35" s="190" t="str">
        <f>ROUNDUP($A35,2) &amp; " " &amp; Formeln!$A$114 &amp; "                     " &amp; "(="&amp;ROUNDUP($A35/0.5,1)*0.5*$R35 &amp;" " &amp; Formeln!$A$111 &amp; ")"</f>
        <v>0 kg                     (=0 STK)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Karton</v>
      </c>
      <c r="C36" s="95"/>
      <c r="D36" s="95">
        <f>IF(H36=Formeln!A6,341395,IF(H36=Formeln!A7,341396,IF(H36=Formeln!A8,341398,0)))</f>
        <v>0</v>
      </c>
      <c r="E36" s="250" t="str">
        <f>VLOOKUP("Rillennägel gebunden",Sprachindex!A:Z,Info!$O$6,FALSE)</f>
        <v>Rillennägel gebunden</v>
      </c>
      <c r="F36" s="251"/>
      <c r="G36" s="251"/>
      <c r="H36" s="252"/>
      <c r="I36" s="267"/>
      <c r="J36" s="267"/>
      <c r="K36" s="253"/>
      <c r="L36" s="96" t="str">
        <f t="shared" si="0"/>
        <v/>
      </c>
      <c r="M36" s="97"/>
      <c r="O36" s="1"/>
      <c r="P36" s="190" t="str">
        <f>ROUNDUP($A36/$R36,0)*$R36 &amp; " " &amp; Formeln!$A$111 &amp; "        " &amp; "(="&amp; ROUNDUP($A36/$R36,0) &amp;" " &amp; Formeln!$A$113 &amp; ")"</f>
        <v>0 STK        (=0 Karton)</v>
      </c>
      <c r="Q36" s="191" t="str">
        <f>$A36&amp;" "&amp;Formeln!$A$111&amp;"        " &amp; "(="&amp;ROUNDUP($A36/$R36,2)&amp;" "&amp;Formeln!$A$113&amp;")"</f>
        <v xml:space="preserve"> STK        (=0 Karton)</v>
      </c>
      <c r="R36" s="6">
        <f>IF(H36=Formeln!A7,2400,3200)</f>
        <v>3200</v>
      </c>
    </row>
    <row r="37" spans="1:39" ht="32.1" customHeight="1">
      <c r="A37" s="118"/>
      <c r="B37" s="96" t="str">
        <f>VLOOKUP("lfm",Sprachindex!A:Z,Info!$O$6,FALSE)</f>
        <v>lfm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0" t="str">
        <f>VLOOKUP("Einlaufblech",Sprachindex!A:Z,Info!$O$6,FALSE)</f>
        <v>Einlaufblech</v>
      </c>
      <c r="F37" s="251"/>
      <c r="G37" s="251"/>
      <c r="H37" s="251"/>
      <c r="I37" s="251"/>
      <c r="J37" s="251"/>
      <c r="K37" s="257"/>
      <c r="L37" s="96" t="str">
        <f t="shared" si="0"/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lfm                (=0 STK)</v>
      </c>
      <c r="Q37" s="191" t="str">
        <f>ROUNDUP($A37/2,0)*2 &amp;" " &amp; Formeln!$A$112 &amp; "                " &amp; "(="&amp;ROUNDUP($A37/2,0) &amp; " " &amp;Formeln!$A$111 &amp; ")"</f>
        <v>0 lfm                (=0 STK)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lfm</v>
      </c>
      <c r="C38" s="99"/>
      <c r="D38" s="99" t="str">
        <f>IF(H38=Formeln!A10,507400,IF(H38=Formeln!A11,507402,IF(H38=Formeln!A12,507411,IF(H38=Formeln!A13,"",0))))</f>
        <v/>
      </c>
      <c r="E38" s="250" t="str">
        <f>VLOOKUP("Lüftungsband",Sprachindex!A:Z,Info!$O$6,FALSE)</f>
        <v>Lüftungsband</v>
      </c>
      <c r="F38" s="251"/>
      <c r="G38" s="251"/>
      <c r="H38" s="252"/>
      <c r="I38" s="267"/>
      <c r="J38" s="267"/>
      <c r="K38" s="253"/>
      <c r="L38" s="96" t="str">
        <f t="shared" si="0"/>
        <v/>
      </c>
      <c r="M38" s="97"/>
      <c r="O38" s="1"/>
      <c r="P38" s="191" t="str">
        <f>ROUNDUP($A38/40,0)*40 &amp;" " &amp; Formeln!$A$112</f>
        <v>0 lfm</v>
      </c>
      <c r="Q38" s="191" t="str">
        <f>$A38 &amp;" " &amp; Formeln!$A$112</f>
        <v xml:space="preserve"> lfm</v>
      </c>
    </row>
    <row r="39" spans="1:39" ht="32.1" customHeight="1">
      <c r="A39" s="118"/>
      <c r="B39" s="96" t="str">
        <f>VLOOKUP("lfm",Sprachindex!A:Z,Info!$O$6,FALSE)</f>
        <v>lfm</v>
      </c>
      <c r="C39" s="95"/>
      <c r="D39" s="95">
        <v>507300</v>
      </c>
      <c r="E39" s="250" t="str">
        <f>VLOOKUP("Vogelschutzgitter, Lochbreite 5mm, 0,70x125x2000mm, braun/anthrazit",Sprachindex!A:Z,Info!$O$6,FALSE)</f>
        <v>Vogelschutzgitter, Lochbreite 5mm, 0,70x125x2000mm, braun/anthrazit</v>
      </c>
      <c r="F39" s="251"/>
      <c r="G39" s="251"/>
      <c r="H39" s="251"/>
      <c r="I39" s="251"/>
      <c r="J39" s="251"/>
      <c r="K39" s="257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lfm                (=0 STK)</v>
      </c>
      <c r="Q39" s="191" t="str">
        <f>ROUNDUP($A39/2,0)*2 &amp;" " &amp; Formeln!$A$112 &amp; "                " &amp; "(="&amp;ROUNDUP($A39/2,0) &amp; " " &amp;Formeln!$A$111 &amp; ")"</f>
        <v>0 lfm                (=0 STK)</v>
      </c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0" t="str">
        <f>VLOOKUP("Ortgangstreifen, 0,70x95x2000mm",Sprachindex!A:Z,Info!$O$6,FALSE)</f>
        <v>Ortgangstreifen, 0,70x95x2000mm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lfm                (=0 STK)</v>
      </c>
      <c r="Q40" s="191" t="str">
        <f>ROUNDUP($A40/2,0)*2 &amp;" " &amp; Formeln!$A$112 &amp; "                " &amp; "(="&amp;ROUNDUP($A40/2,0) &amp; " " &amp;Formeln!$A$111 &amp; ")"</f>
        <v>0 lfm                (=0 STK)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 t="shared" si="1"/>
        <v>0</v>
      </c>
      <c r="E41" s="250" t="str">
        <f>VLOOKUP("Sicherheitskehle 3m lang",Sprachindex!A:Z,Info!$O$6,FALSE)</f>
        <v>Sicherheitskehle 3m lang</v>
      </c>
      <c r="F41" s="251"/>
      <c r="G41" s="251"/>
      <c r="H41" s="251"/>
      <c r="I41" s="251"/>
      <c r="J41" s="251"/>
      <c r="K41" s="257"/>
      <c r="L41" s="96" t="str">
        <f t="shared" si="0"/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lfm                (=0 STK)</v>
      </c>
      <c r="Q41" s="191" t="str">
        <f>ROUNDUP($A41/3,0)*3 &amp;" " &amp; Formeln!$A$112 &amp; "                " &amp; "(="&amp;ROUNDUP($A41/3,0) &amp; " " &amp;Formeln!$A$111 &amp; ")"</f>
        <v>0 lfm                (=0 STK)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si="1"/>
        <v>0</v>
      </c>
      <c r="E42" s="250" t="str">
        <f>VLOOKUP("Grat-Firstreiter inkl. Dichtschrauben ",Sprachindex!A:Z,Info!$O$6,FALSE)</f>
        <v xml:space="preserve">Grat-Firstreiter inkl. Dichtschrauben 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lfm                     (=0 STK)</v>
      </c>
      <c r="Q42" s="191" t="str">
        <f>ROUNDUP($A42/0.5,0)*0.5 &amp;" " &amp; Formeln!$A$112 &amp; "                     " &amp; "(="&amp;ROUNDUP($A42/0.5,0)&amp; " " &amp; Formeln!$A$111 &amp; ")"</f>
        <v>0 lfm                     (=0 STK)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STK</v>
      </c>
      <c r="C43" s="95"/>
      <c r="D43" s="95">
        <f t="shared" si="1"/>
        <v>0</v>
      </c>
      <c r="E43" s="250" t="str">
        <f>VLOOKUP("Gratreitervorkopf",Sprachindex!A:Z,Info!$O$6,FALSE)</f>
        <v>Gratreitervorkopf</v>
      </c>
      <c r="F43" s="251"/>
      <c r="G43" s="251"/>
      <c r="H43" s="251"/>
      <c r="I43" s="251"/>
      <c r="J43" s="251"/>
      <c r="K43" s="257"/>
      <c r="L43" s="96" t="str">
        <f t="shared" si="0"/>
        <v/>
      </c>
      <c r="M43" s="97"/>
      <c r="O43" s="1"/>
      <c r="P43" s="191" t="str">
        <f>ROUNDUP($A43/10,0)*10 &amp;" " &amp; Formeln!$A$111</f>
        <v>0 STK</v>
      </c>
      <c r="Q43" s="191" t="str">
        <f>ROUNDUP($A43/1,0)*1 &amp;" " &amp; Formeln!$A$111</f>
        <v>0 STK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lfm</v>
      </c>
      <c r="C44" s="95"/>
      <c r="D44" s="95">
        <f t="shared" si="1"/>
        <v>0</v>
      </c>
      <c r="E44" s="250" t="str">
        <f>VLOOKUP("Jet-Lüfter 1.2m lang",Sprachindex!A:Z,Info!$O$6,FALSE)</f>
        <v>Jet-Lüfter 1.2m lang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lfm                (=0 STK)</v>
      </c>
      <c r="Q44" s="191" t="str">
        <f>ROUNDUP($A44/1.2,0)*1.2 &amp;" " &amp; Formeln!$A$112 &amp; "                " &amp; "(="&amp;ROUNDUP($A44/1.2,0) &amp; " " &amp;Formeln!$A$111 &amp; ")"</f>
        <v>0 lfm                (=0 STK)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lfm</v>
      </c>
      <c r="C45" s="95"/>
      <c r="D45" s="95">
        <f t="shared" si="1"/>
        <v>0</v>
      </c>
      <c r="E45" s="250" t="str">
        <f>VLOOKUP("Jet-Lüfter",Sprachindex!A:Z,Info!$O$6,FALSE)</f>
        <v>Jet-Lüfter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lfm                (=0 STK)</v>
      </c>
      <c r="Q45" s="191" t="str">
        <f>ROUNDUP($A45/3,0)*3 &amp;" " &amp; Formeln!$A$112 &amp; "                " &amp; "(="&amp;ROUNDUP($A45/3,0) &amp; " " &amp;Formeln!$A$111 &amp; ")"</f>
        <v>0 lfm                (=0 STK)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STK</v>
      </c>
      <c r="C46" s="95"/>
      <c r="D46" s="95">
        <f t="shared" si="1"/>
        <v>0</v>
      </c>
      <c r="E46" s="250" t="str">
        <f>VLOOKUP("Jet-Lüfter-Vorkopf",Sprachindex!A:Z,Info!$O$6,FALSE)</f>
        <v>Jet-Lüfter-Vorkopf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"/>
      <c r="P46" s="191" t="str">
        <f>ROUNDUP($A46/2,0)*2 &amp;" " &amp; Formeln!$A$111</f>
        <v>0 STK</v>
      </c>
      <c r="Q46" s="191" t="str">
        <f>ROUNDUP($A46/1,0)*1 &amp;" " &amp; Formeln!$A$111</f>
        <v>0 STK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0" t="str">
        <f>VLOOKUP("Dichtschraube NIRO, 4,5x25",Sprachindex!A:Z,Info!$O$6,FALSE)</f>
        <v>Dichtschraube NIRO, 4,5x25</v>
      </c>
      <c r="F47" s="251"/>
      <c r="G47" s="251"/>
      <c r="H47" s="251"/>
      <c r="I47" s="251"/>
      <c r="J47" s="251"/>
      <c r="K47" s="257"/>
      <c r="L47" s="96" t="str">
        <f t="shared" si="0"/>
        <v/>
      </c>
      <c r="M47" s="97"/>
      <c r="O47" s="1"/>
      <c r="P47" s="191" t="str">
        <f>ROUNDUP($A47/200,0)*200 &amp;" " &amp; Formeln!$A$111</f>
        <v>0 STK</v>
      </c>
      <c r="Q47" s="191" t="str">
        <f>ROUNDUP($A47,0) &amp;" " &amp; Formeln!$A$111</f>
        <v>0 STK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0" t="str">
        <f>VLOOKUP("Dichtschraube NIRO",Sprachindex!A:Z,Info!$O$6,FALSE)</f>
        <v>Dichtschraube NIRO</v>
      </c>
      <c r="F48" s="251"/>
      <c r="G48" s="251"/>
      <c r="H48" s="252"/>
      <c r="I48" s="267"/>
      <c r="J48" s="267"/>
      <c r="K48" s="253"/>
      <c r="L48" s="96" t="str">
        <f t="shared" si="0"/>
        <v/>
      </c>
      <c r="M48" s="97"/>
      <c r="O48" s="1"/>
      <c r="P48" s="191" t="str">
        <f>ROUNDUP($A48/250,0)*250 &amp;" " &amp; Formeln!$A$111</f>
        <v>0 STK</v>
      </c>
      <c r="Q48" s="191" t="str">
        <f>ROUNDUP($A48,0) &amp;" " &amp; Formeln!$A$111</f>
        <v>0 STK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0" t="str">
        <f>VLOOKUP("Dichtschraube NIRO",Sprachindex!A:Z,Info!$O$6,FALSE)</f>
        <v>Dichtschraube NIRO</v>
      </c>
      <c r="F49" s="251"/>
      <c r="G49" s="251"/>
      <c r="H49" s="252"/>
      <c r="I49" s="267"/>
      <c r="J49" s="267"/>
      <c r="K49" s="253"/>
      <c r="L49" s="96" t="str">
        <f t="shared" si="0"/>
        <v/>
      </c>
      <c r="M49" s="97"/>
      <c r="O49" s="1"/>
      <c r="P49" s="191" t="str">
        <f>ROUNDUP($A49/100,0)*100 &amp;" " &amp; Formeln!$A$111</f>
        <v>0 STK</v>
      </c>
      <c r="Q49" s="191" t="str">
        <f>ROUNDUP($A49,0) &amp;" " &amp; Formeln!$A$111</f>
        <v>0 STK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0" t="str">
        <f>VLOOKUP("Froschmaullukenhaube",Sprachindex!A:Z,Info!$O$6,FALSE)</f>
        <v>Froschmaullukenhaube</v>
      </c>
      <c r="F50" s="251"/>
      <c r="G50" s="251"/>
      <c r="H50" s="251"/>
      <c r="I50" s="251"/>
      <c r="J50" s="251"/>
      <c r="K50" s="257"/>
      <c r="L50" s="96" t="str">
        <f t="shared" si="0"/>
        <v/>
      </c>
      <c r="M50" s="97"/>
      <c r="O50" s="1"/>
      <c r="P50" s="191" t="str">
        <f>ROUNDUP($A50/20,0)*20 &amp;" " &amp; Formeln!$A$111</f>
        <v>0 STK</v>
      </c>
      <c r="Q50" s="191" t="str">
        <f>ROUNDUP($A50,0) &amp;" " &amp; Formeln!$A$111</f>
        <v>0 STK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v>545106</v>
      </c>
      <c r="E51" s="261" t="str">
        <f>VLOOKUP("Einfassung Vario, 120-600 mm, stucco",Sprachindex!A:Z,Info!$O$6,FALSE)</f>
        <v>Einfassung Vario, 120-600 mm, stucco</v>
      </c>
      <c r="F51" s="262"/>
      <c r="G51" s="262"/>
      <c r="H51" s="262"/>
      <c r="I51" s="262"/>
      <c r="J51" s="262"/>
      <c r="K51" s="263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v>545106</v>
      </c>
      <c r="E52" s="261" t="str">
        <f>VLOOKUP("Einfassung Vario, 600-1.020 mm, stucco",Sprachindex!A:Z,Info!$O$6,FALSE)</f>
        <v>Einfassung Vario, 600-1.020 mm, stucco</v>
      </c>
      <c r="F52" s="262"/>
      <c r="G52" s="262"/>
      <c r="H52" s="262"/>
      <c r="I52" s="262"/>
      <c r="J52" s="262"/>
      <c r="K52" s="263"/>
      <c r="L52" s="96" t="str">
        <f>IF($A52=0,"",IF($J52=Formeln!$A$27," ",IF($N$11=1,P52,Q52)))</f>
        <v/>
      </c>
      <c r="M52" s="97"/>
      <c r="O52" s="1"/>
      <c r="P52" s="191"/>
      <c r="Q52" s="191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261" t="str">
        <f>VLOOKUP("Dachausstiegsluke, 600x600mm",Sprachindex!A:Z,Info!$O$6,FALSE)</f>
        <v>Dachausstiegsluke, 600x600mm</v>
      </c>
      <c r="F53" s="262"/>
      <c r="G53" s="262"/>
      <c r="H53" s="262"/>
      <c r="I53" s="262"/>
      <c r="J53" s="262"/>
      <c r="K53" s="263"/>
      <c r="L53" s="96" t="str">
        <f t="shared" si="0"/>
        <v/>
      </c>
      <c r="M53" s="97"/>
      <c r="O53" s="1"/>
      <c r="P53" s="191" t="str">
        <f>ROUNDUP($A53,0) &amp;" " &amp; Formeln!$A$111</f>
        <v>0 STK</v>
      </c>
      <c r="Q53" s="191" t="str">
        <f>ROUNDUP($A53,0) &amp;" " &amp; Formeln!$A$111</f>
        <v>0 STK</v>
      </c>
      <c r="T53" s="46">
        <v>110020</v>
      </c>
      <c r="U53" s="46">
        <v>110021</v>
      </c>
      <c r="V53" s="46">
        <v>110022</v>
      </c>
      <c r="W53" s="46">
        <v>110023</v>
      </c>
      <c r="X53" s="46">
        <v>110024</v>
      </c>
      <c r="Y53" s="46">
        <v>110025</v>
      </c>
      <c r="Z53" s="46">
        <v>110026</v>
      </c>
      <c r="AA53" s="46">
        <v>110027</v>
      </c>
      <c r="AB53" s="46">
        <v>110028</v>
      </c>
      <c r="AC53" s="46"/>
      <c r="AD53" s="46">
        <v>110030</v>
      </c>
      <c r="AE53" s="46">
        <v>110031</v>
      </c>
      <c r="AF53" s="46">
        <v>110032</v>
      </c>
      <c r="AG53" s="46">
        <v>110033</v>
      </c>
      <c r="AH53" s="46">
        <v>110034</v>
      </c>
      <c r="AI53" s="46">
        <v>110035</v>
      </c>
      <c r="AJ53" s="46">
        <v>110036</v>
      </c>
      <c r="AK53" s="46">
        <v>110037</v>
      </c>
      <c r="AL53" s="46">
        <v>110038</v>
      </c>
      <c r="AM53" s="46">
        <v>110039</v>
      </c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250" t="str">
        <f>VLOOKUP("VELUX Einfassung",Sprachindex!A:Z,Info!$O$6,FALSE)</f>
        <v>VELUX Einfassung</v>
      </c>
      <c r="F54" s="251"/>
      <c r="G54" s="251"/>
      <c r="H54" s="251"/>
      <c r="I54" s="101" t="str">
        <f>VLOOKUP("Maße:",Sprachindex!A:Z,Info!$O$6,FALSE)</f>
        <v>Maße:</v>
      </c>
      <c r="J54" s="252"/>
      <c r="K54" s="253"/>
      <c r="L54" s="96" t="str">
        <f>IF($A54=0,"",IF($J54=Formeln!$A$27," ",IF($N$11=1,P54,Q54)))</f>
        <v/>
      </c>
      <c r="M54" s="97"/>
      <c r="O54" s="1"/>
      <c r="P54" s="191" t="str">
        <f>ROUNDUP($A54,0) &amp;" " &amp; Formeln!$A$111</f>
        <v>0 STK</v>
      </c>
      <c r="Q54" s="191" t="str">
        <f>ROUNDUP($A54,0) &amp;" " &amp; Formeln!$A$111</f>
        <v>0 STK</v>
      </c>
      <c r="T54" s="46"/>
      <c r="U54" s="50"/>
      <c r="V54" s="50"/>
      <c r="W54" s="50"/>
      <c r="X54" s="50"/>
      <c r="Y54" s="50"/>
      <c r="Z54" s="50"/>
      <c r="AA54" s="50"/>
      <c r="AB54" s="50"/>
      <c r="AD54" s="50">
        <v>111100</v>
      </c>
      <c r="AE54" s="50">
        <v>111101</v>
      </c>
      <c r="AF54" s="50">
        <v>111102</v>
      </c>
      <c r="AG54" s="50">
        <v>111103</v>
      </c>
      <c r="AH54" s="50">
        <v>111104</v>
      </c>
      <c r="AI54" s="50">
        <v>111105</v>
      </c>
      <c r="AJ54" s="50">
        <v>111106</v>
      </c>
      <c r="AK54" s="50">
        <v>111107</v>
      </c>
      <c r="AL54" s="50">
        <v>111108</v>
      </c>
      <c r="AM54" s="229">
        <v>111109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51"/>
      <c r="AP54" s="50"/>
      <c r="AQ54" s="50"/>
      <c r="AR54" s="50"/>
      <c r="AS54" s="50"/>
      <c r="AT54" s="50"/>
      <c r="AU54" s="50"/>
      <c r="AV54" s="50"/>
      <c r="AW54" s="50"/>
      <c r="AY54" s="50">
        <v>111100</v>
      </c>
      <c r="AZ54" s="50">
        <v>111101</v>
      </c>
      <c r="BA54" s="50">
        <v>111102</v>
      </c>
      <c r="BB54" s="50">
        <v>111103</v>
      </c>
      <c r="BC54" s="50">
        <v>111104</v>
      </c>
      <c r="BD54" s="50">
        <v>111105</v>
      </c>
      <c r="BE54" s="50">
        <v>111106</v>
      </c>
      <c r="BF54" s="50">
        <v>111107</v>
      </c>
      <c r="BG54" s="50">
        <v>111108</v>
      </c>
      <c r="BH54" s="229">
        <v>111109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51"/>
      <c r="BK54" s="50"/>
      <c r="BL54" s="50"/>
      <c r="BM54" s="50"/>
      <c r="BN54" s="50"/>
      <c r="BO54" s="50"/>
      <c r="BP54" s="50"/>
      <c r="BQ54" s="50"/>
      <c r="BR54" s="50"/>
      <c r="BT54" s="50">
        <v>111100</v>
      </c>
      <c r="BU54" s="50">
        <v>111101</v>
      </c>
      <c r="BV54" s="50">
        <v>111102</v>
      </c>
      <c r="BW54" s="50">
        <v>111103</v>
      </c>
      <c r="BX54" s="50">
        <v>111104</v>
      </c>
      <c r="BY54" s="50">
        <v>111105</v>
      </c>
      <c r="BZ54" s="50">
        <v>111106</v>
      </c>
      <c r="CA54" s="50">
        <v>111107</v>
      </c>
      <c r="CB54" s="50">
        <v>111108</v>
      </c>
      <c r="CC54" s="229">
        <v>111109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51"/>
      <c r="CF54" s="46"/>
      <c r="CG54" s="46"/>
      <c r="CH54" s="46"/>
      <c r="CI54" s="46"/>
      <c r="CJ54" s="46"/>
      <c r="CK54" s="46"/>
      <c r="CL54" s="46"/>
      <c r="CM54" s="46"/>
      <c r="CO54" s="46">
        <v>111120</v>
      </c>
      <c r="CP54" s="46">
        <v>111121</v>
      </c>
      <c r="CQ54" s="46">
        <v>111122</v>
      </c>
      <c r="CR54" s="46">
        <v>111123</v>
      </c>
      <c r="CS54" s="46">
        <v>111124</v>
      </c>
      <c r="CT54" s="46">
        <v>111125</v>
      </c>
      <c r="CU54" s="46">
        <v>111126</v>
      </c>
      <c r="CV54" s="46">
        <v>111127</v>
      </c>
      <c r="CW54" s="46">
        <v>111128</v>
      </c>
      <c r="CX54" s="229">
        <v>111129</v>
      </c>
      <c r="CY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51"/>
      <c r="DA54" s="46"/>
      <c r="DB54" s="46"/>
      <c r="DC54" s="46"/>
      <c r="DD54" s="46"/>
      <c r="DE54" s="46"/>
      <c r="DF54" s="46"/>
      <c r="DG54" s="46"/>
      <c r="DH54" s="46"/>
      <c r="DJ54" s="46">
        <v>111120</v>
      </c>
      <c r="DK54" s="46">
        <v>111121</v>
      </c>
      <c r="DL54" s="46">
        <v>111122</v>
      </c>
      <c r="DM54" s="46">
        <v>111123</v>
      </c>
      <c r="DN54" s="46">
        <v>111124</v>
      </c>
      <c r="DO54" s="46">
        <v>111125</v>
      </c>
      <c r="DP54" s="46">
        <v>111126</v>
      </c>
      <c r="DQ54" s="46">
        <v>111127</v>
      </c>
      <c r="DR54" s="46">
        <v>111128</v>
      </c>
      <c r="DS54" s="229">
        <v>111129</v>
      </c>
      <c r="DT54" s="52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51"/>
      <c r="DV54" s="46"/>
      <c r="DW54" s="46"/>
      <c r="DX54" s="46"/>
      <c r="DY54" s="46"/>
      <c r="DZ54" s="46"/>
      <c r="EA54" s="46"/>
      <c r="EB54" s="46"/>
      <c r="EC54" s="46"/>
      <c r="EE54" s="46">
        <v>111120</v>
      </c>
      <c r="EF54" s="46">
        <v>111121</v>
      </c>
      <c r="EG54" s="46">
        <v>111122</v>
      </c>
      <c r="EH54" s="46">
        <v>111123</v>
      </c>
      <c r="EI54" s="46">
        <v>111124</v>
      </c>
      <c r="EJ54" s="46">
        <v>111125</v>
      </c>
      <c r="EK54" s="46">
        <v>111126</v>
      </c>
      <c r="EL54" s="46">
        <v>111127</v>
      </c>
      <c r="EM54" s="46">
        <v>111128</v>
      </c>
      <c r="EN54" s="229">
        <v>111129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51">
        <v>111170</v>
      </c>
      <c r="EQ54" s="46"/>
      <c r="ER54" s="46"/>
      <c r="ES54" s="46"/>
      <c r="ET54" s="46"/>
      <c r="EU54" s="46"/>
      <c r="EV54" s="46"/>
      <c r="EW54" s="46"/>
      <c r="EX54" s="46"/>
      <c r="EZ54" s="46">
        <v>111160</v>
      </c>
      <c r="FA54" s="46">
        <v>111161</v>
      </c>
      <c r="FB54" s="46">
        <v>111162</v>
      </c>
      <c r="FC54" s="46">
        <v>111163</v>
      </c>
      <c r="FD54" s="46">
        <v>111164</v>
      </c>
      <c r="FE54" s="46">
        <v>111165</v>
      </c>
      <c r="FF54" s="46">
        <v>111166</v>
      </c>
      <c r="FG54" s="46">
        <v>111167</v>
      </c>
      <c r="FH54" s="46">
        <v>111168</v>
      </c>
      <c r="FI54" s="229">
        <v>111169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51"/>
      <c r="FL54" s="46"/>
      <c r="FM54" s="46"/>
      <c r="FN54" s="46"/>
      <c r="FO54" s="46"/>
      <c r="FP54" s="46"/>
      <c r="FQ54" s="46"/>
      <c r="FR54" s="46"/>
      <c r="FS54" s="46"/>
      <c r="FU54" s="46">
        <v>111160</v>
      </c>
      <c r="FV54" s="46">
        <v>111161</v>
      </c>
      <c r="FW54" s="46">
        <v>111162</v>
      </c>
      <c r="FX54" s="46">
        <v>111163</v>
      </c>
      <c r="FY54" s="46">
        <v>111164</v>
      </c>
      <c r="FZ54" s="46">
        <v>111165</v>
      </c>
      <c r="GA54" s="46">
        <v>111166</v>
      </c>
      <c r="GB54" s="46">
        <v>111167</v>
      </c>
      <c r="GC54" s="46">
        <v>111168</v>
      </c>
      <c r="GD54" s="229">
        <v>111169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51"/>
      <c r="GG54" s="46"/>
      <c r="GH54" s="46"/>
      <c r="GI54" s="46"/>
      <c r="GJ54" s="46"/>
      <c r="GK54" s="46"/>
      <c r="GL54" s="46"/>
      <c r="GM54" s="46"/>
      <c r="GN54" s="46"/>
      <c r="GP54" s="46">
        <v>111160</v>
      </c>
      <c r="GQ54" s="46">
        <v>111161</v>
      </c>
      <c r="GR54" s="46">
        <v>111162</v>
      </c>
      <c r="GS54" s="46">
        <v>111163</v>
      </c>
      <c r="GT54" s="46">
        <v>111164</v>
      </c>
      <c r="GU54" s="46">
        <v>111165</v>
      </c>
      <c r="GV54" s="46">
        <v>111166</v>
      </c>
      <c r="GW54" s="46">
        <v>111167</v>
      </c>
      <c r="GX54" s="46">
        <v>111168</v>
      </c>
      <c r="GY54" s="230">
        <v>111169</v>
      </c>
      <c r="GZ54" s="52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51"/>
      <c r="HB54" s="46"/>
      <c r="HC54" s="46"/>
      <c r="HD54" s="46"/>
      <c r="HE54" s="46"/>
      <c r="HF54" s="46"/>
      <c r="HG54" s="46"/>
      <c r="HH54" s="46"/>
      <c r="HI54" s="46"/>
      <c r="HK54" s="46">
        <v>111280</v>
      </c>
      <c r="HL54" s="46">
        <v>111281</v>
      </c>
      <c r="HM54" s="46">
        <v>111282</v>
      </c>
      <c r="HN54" s="46">
        <v>111283</v>
      </c>
      <c r="HO54" s="46">
        <v>111284</v>
      </c>
      <c r="HP54" s="46">
        <v>111285</v>
      </c>
      <c r="HQ54" s="46">
        <v>111286</v>
      </c>
      <c r="HR54" s="46">
        <v>111287</v>
      </c>
      <c r="HS54" s="46">
        <v>111288</v>
      </c>
      <c r="HT54" s="230">
        <v>111289</v>
      </c>
      <c r="HU54" s="52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51"/>
      <c r="HW54" s="46"/>
      <c r="HX54" s="46"/>
      <c r="HY54" s="46"/>
      <c r="HZ54" s="46"/>
      <c r="IA54" s="46"/>
      <c r="IB54" s="46"/>
      <c r="IC54" s="46"/>
      <c r="ID54" s="46"/>
      <c r="IF54" s="46">
        <v>111280</v>
      </c>
      <c r="IG54" s="46">
        <v>111281</v>
      </c>
      <c r="IH54" s="46">
        <v>111282</v>
      </c>
      <c r="II54" s="46">
        <v>111283</v>
      </c>
      <c r="IJ54" s="46">
        <v>111284</v>
      </c>
      <c r="IK54" s="46">
        <v>111285</v>
      </c>
      <c r="IL54" s="46">
        <v>111286</v>
      </c>
      <c r="IM54" s="46">
        <v>111287</v>
      </c>
      <c r="IN54" s="46">
        <v>111288</v>
      </c>
      <c r="IO54" s="230">
        <v>111289</v>
      </c>
      <c r="IP54" s="52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51"/>
      <c r="IR54" s="46"/>
      <c r="IS54" s="46"/>
      <c r="IT54" s="46"/>
      <c r="IU54" s="46"/>
      <c r="IV54" s="46"/>
      <c r="IW54" s="46"/>
      <c r="IX54" s="46"/>
      <c r="IY54" s="46"/>
      <c r="JA54" s="46">
        <v>111180</v>
      </c>
      <c r="JB54" s="46">
        <v>111181</v>
      </c>
      <c r="JC54" s="46">
        <v>111182</v>
      </c>
      <c r="JD54" s="46">
        <v>111183</v>
      </c>
      <c r="JE54" s="46">
        <v>111184</v>
      </c>
      <c r="JF54" s="46">
        <v>111185</v>
      </c>
      <c r="JG54" s="46">
        <v>111186</v>
      </c>
      <c r="JH54" s="46">
        <v>111187</v>
      </c>
      <c r="JI54" s="46">
        <v>111188</v>
      </c>
      <c r="JJ54" s="230">
        <v>111189</v>
      </c>
      <c r="JK54" s="52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51"/>
      <c r="JM54" s="46"/>
      <c r="JN54" s="46"/>
      <c r="JO54" s="46"/>
      <c r="JP54" s="46"/>
      <c r="JQ54" s="46"/>
      <c r="JR54" s="46"/>
      <c r="JS54" s="46"/>
      <c r="JT54" s="46"/>
      <c r="JV54" s="46">
        <v>111180</v>
      </c>
      <c r="JW54" s="46">
        <v>111181</v>
      </c>
      <c r="JX54" s="46">
        <v>111182</v>
      </c>
      <c r="JY54" s="46">
        <v>111183</v>
      </c>
      <c r="JZ54" s="46">
        <v>111184</v>
      </c>
      <c r="KA54" s="46">
        <v>111185</v>
      </c>
      <c r="KB54" s="46">
        <v>111186</v>
      </c>
      <c r="KC54" s="46">
        <v>111187</v>
      </c>
      <c r="KD54" s="46">
        <v>111188</v>
      </c>
      <c r="KE54" s="230">
        <v>111189</v>
      </c>
      <c r="KF54" s="52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51"/>
      <c r="KH54" s="46"/>
      <c r="KI54" s="46"/>
      <c r="KJ54" s="46"/>
      <c r="KK54" s="46"/>
      <c r="KL54" s="46"/>
      <c r="KM54" s="46"/>
      <c r="KN54" s="46"/>
      <c r="KO54" s="46"/>
      <c r="KQ54" s="46">
        <v>111180</v>
      </c>
      <c r="KR54" s="46">
        <v>111181</v>
      </c>
      <c r="KS54" s="46">
        <v>111182</v>
      </c>
      <c r="KT54" s="46">
        <v>111183</v>
      </c>
      <c r="KU54" s="46">
        <v>111184</v>
      </c>
      <c r="KV54" s="46">
        <v>111185</v>
      </c>
      <c r="KW54" s="46">
        <v>111186</v>
      </c>
      <c r="KX54" s="46">
        <v>111187</v>
      </c>
      <c r="KY54" s="46">
        <v>111188</v>
      </c>
      <c r="KZ54" s="230">
        <v>111189</v>
      </c>
      <c r="LA54" s="52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51"/>
      <c r="LC54" s="46"/>
      <c r="LD54" s="46"/>
      <c r="LE54" s="46"/>
      <c r="LF54" s="46"/>
      <c r="LG54" s="46"/>
      <c r="LH54" s="46"/>
      <c r="LI54" s="46"/>
      <c r="LJ54" s="46"/>
      <c r="LL54" s="46">
        <v>111200</v>
      </c>
      <c r="LM54" s="46">
        <v>111201</v>
      </c>
      <c r="LN54" s="46">
        <v>111202</v>
      </c>
      <c r="LO54" s="46">
        <v>111203</v>
      </c>
      <c r="LP54" s="46">
        <v>111204</v>
      </c>
      <c r="LQ54" s="46">
        <v>111205</v>
      </c>
      <c r="LR54" s="46">
        <v>111206</v>
      </c>
      <c r="LS54" s="46">
        <v>111207</v>
      </c>
      <c r="LT54" s="46">
        <v>111208</v>
      </c>
      <c r="LU54" s="230">
        <v>111209</v>
      </c>
      <c r="LV54" s="52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51"/>
      <c r="LX54" s="46"/>
      <c r="LY54" s="46"/>
      <c r="LZ54" s="46"/>
      <c r="MA54" s="46"/>
      <c r="MB54" s="46"/>
      <c r="MC54" s="46"/>
      <c r="MD54" s="46"/>
      <c r="ME54" s="46"/>
      <c r="MG54" s="46">
        <v>111220</v>
      </c>
      <c r="MH54" s="46">
        <v>111221</v>
      </c>
      <c r="MI54" s="46">
        <v>111222</v>
      </c>
      <c r="MJ54" s="46">
        <v>111223</v>
      </c>
      <c r="MK54" s="46">
        <v>111224</v>
      </c>
      <c r="ML54" s="46">
        <v>111225</v>
      </c>
      <c r="MM54" s="46">
        <v>111226</v>
      </c>
      <c r="MN54" s="46">
        <v>111227</v>
      </c>
      <c r="MO54" s="46">
        <v>111228</v>
      </c>
      <c r="MP54" s="230">
        <v>111229</v>
      </c>
      <c r="MQ54" s="52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51"/>
      <c r="MS54" s="46"/>
      <c r="MT54" s="46"/>
      <c r="MU54" s="46"/>
      <c r="MV54" s="46"/>
      <c r="MW54" s="46"/>
      <c r="MX54" s="46"/>
      <c r="MY54" s="46"/>
      <c r="MZ54" s="46"/>
      <c r="NB54" s="46">
        <v>111220</v>
      </c>
      <c r="NC54" s="46">
        <v>111221</v>
      </c>
      <c r="ND54" s="46">
        <v>111222</v>
      </c>
      <c r="NE54" s="46">
        <v>111223</v>
      </c>
      <c r="NF54" s="46">
        <v>111224</v>
      </c>
      <c r="NG54" s="46">
        <v>111225</v>
      </c>
      <c r="NH54" s="46">
        <v>111226</v>
      </c>
      <c r="NI54" s="46">
        <v>111227</v>
      </c>
      <c r="NJ54" s="46">
        <v>111228</v>
      </c>
      <c r="NK54" s="230">
        <v>111229</v>
      </c>
      <c r="NL54" s="52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51"/>
      <c r="NN54" s="46"/>
      <c r="NO54" s="46"/>
      <c r="NP54" s="46"/>
      <c r="NQ54" s="46"/>
      <c r="NR54" s="46"/>
      <c r="NS54" s="46"/>
      <c r="NT54" s="46"/>
      <c r="NU54" s="46"/>
      <c r="NW54" s="46">
        <v>111600</v>
      </c>
      <c r="NX54" s="46">
        <v>111601</v>
      </c>
      <c r="NY54" s="46">
        <v>111602</v>
      </c>
      <c r="NZ54" s="46">
        <v>111603</v>
      </c>
      <c r="OA54" s="46">
        <v>111604</v>
      </c>
      <c r="OB54" s="46">
        <v>111605</v>
      </c>
      <c r="OC54" s="46">
        <v>111606</v>
      </c>
      <c r="OD54" s="46">
        <v>111607</v>
      </c>
      <c r="OE54" s="46">
        <v>111608</v>
      </c>
      <c r="OF54" s="230">
        <v>111609</v>
      </c>
      <c r="OG54" s="52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51"/>
      <c r="OI54" s="46"/>
      <c r="OJ54" s="46"/>
      <c r="OK54" s="46"/>
      <c r="OL54" s="46"/>
      <c r="OM54" s="46"/>
      <c r="ON54" s="46"/>
      <c r="OO54" s="46"/>
      <c r="OP54" s="46"/>
      <c r="OR54" s="46">
        <v>111240</v>
      </c>
      <c r="OS54" s="46">
        <v>111241</v>
      </c>
      <c r="OT54" s="46">
        <v>111242</v>
      </c>
      <c r="OU54" s="46">
        <v>111243</v>
      </c>
      <c r="OV54" s="46">
        <v>111244</v>
      </c>
      <c r="OW54" s="46">
        <v>111245</v>
      </c>
      <c r="OX54" s="46">
        <v>111246</v>
      </c>
      <c r="OY54" s="46">
        <v>111247</v>
      </c>
      <c r="OZ54" s="46">
        <v>111248</v>
      </c>
      <c r="PA54" s="230">
        <v>111249</v>
      </c>
      <c r="PB54" s="52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51"/>
      <c r="PD54" s="46"/>
      <c r="PE54" s="46"/>
      <c r="PF54" s="46"/>
      <c r="PG54" s="46"/>
      <c r="PH54" s="46"/>
      <c r="PI54" s="46"/>
      <c r="PJ54" s="46"/>
      <c r="PK54" s="46"/>
      <c r="PM54" s="46">
        <v>111240</v>
      </c>
      <c r="PN54" s="46">
        <v>111241</v>
      </c>
      <c r="PO54" s="46">
        <v>111242</v>
      </c>
      <c r="PP54" s="46">
        <v>111243</v>
      </c>
      <c r="PQ54" s="46">
        <v>111244</v>
      </c>
      <c r="PR54" s="46">
        <v>111245</v>
      </c>
      <c r="PS54" s="46">
        <v>111246</v>
      </c>
      <c r="PT54" s="46">
        <v>111247</v>
      </c>
      <c r="PU54" s="46">
        <v>111248</v>
      </c>
      <c r="PV54" s="230">
        <v>111249</v>
      </c>
      <c r="PW54" s="52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51"/>
      <c r="PY54" s="46"/>
      <c r="PZ54" s="46"/>
      <c r="QA54" s="46"/>
      <c r="QB54" s="46"/>
      <c r="QC54" s="46"/>
      <c r="QD54" s="46"/>
      <c r="QE54" s="46"/>
      <c r="QF54" s="46"/>
      <c r="QH54" s="46">
        <v>111620</v>
      </c>
      <c r="QI54" s="46">
        <v>111621</v>
      </c>
      <c r="QJ54" s="46">
        <v>111622</v>
      </c>
      <c r="QK54" s="46">
        <v>111623</v>
      </c>
      <c r="QL54" s="46">
        <v>111624</v>
      </c>
      <c r="QM54" s="46">
        <v>111625</v>
      </c>
      <c r="QN54" s="46">
        <v>111626</v>
      </c>
      <c r="QO54" s="46">
        <v>111627</v>
      </c>
      <c r="QP54" s="46">
        <v>111628</v>
      </c>
      <c r="QQ54" s="230">
        <v>111629</v>
      </c>
      <c r="QR54" s="52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250" t="str">
        <f>VLOOKUP("ROTO Einfassung",Sprachindex!A:Z,Info!$O$6,FALSE)</f>
        <v>ROTO Einfassung</v>
      </c>
      <c r="F55" s="251"/>
      <c r="G55" s="251"/>
      <c r="H55" s="251"/>
      <c r="I55" s="101" t="str">
        <f>VLOOKUP("Maße:",Sprachindex!A:Z,Info!$O$6,FALSE)</f>
        <v>Maße:</v>
      </c>
      <c r="J55" s="252"/>
      <c r="K55" s="253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/>
      <c r="U55" s="46"/>
      <c r="V55" s="46"/>
      <c r="W55" s="46"/>
      <c r="X55" s="46"/>
      <c r="Y55" s="46"/>
      <c r="Z55" s="46"/>
      <c r="AA55" s="46"/>
      <c r="AB55" s="46"/>
      <c r="AD55" s="46">
        <v>111300</v>
      </c>
      <c r="AE55" s="46">
        <v>111301</v>
      </c>
      <c r="AF55" s="46">
        <v>111302</v>
      </c>
      <c r="AG55" s="46">
        <v>111303</v>
      </c>
      <c r="AH55" s="46">
        <v>111304</v>
      </c>
      <c r="AI55" s="46">
        <v>111305</v>
      </c>
      <c r="AJ55" s="46">
        <v>111306</v>
      </c>
      <c r="AK55" s="46">
        <v>111307</v>
      </c>
      <c r="AL55" s="46">
        <v>111308</v>
      </c>
      <c r="AM55" s="229">
        <v>111309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46">
        <v>111320</v>
      </c>
      <c r="AZ55" s="46">
        <v>111321</v>
      </c>
      <c r="BA55" s="46">
        <v>111322</v>
      </c>
      <c r="BB55" s="46">
        <v>111323</v>
      </c>
      <c r="BC55" s="46">
        <v>111324</v>
      </c>
      <c r="BD55" s="46">
        <v>111325</v>
      </c>
      <c r="BE55" s="46">
        <v>111326</v>
      </c>
      <c r="BF55" s="46">
        <v>111327</v>
      </c>
      <c r="BG55" s="46">
        <v>111328</v>
      </c>
      <c r="BH55" s="229">
        <v>111329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46">
        <v>111340</v>
      </c>
      <c r="BU55" s="46">
        <v>111341</v>
      </c>
      <c r="BV55" s="46">
        <v>111342</v>
      </c>
      <c r="BW55" s="46">
        <v>111343</v>
      </c>
      <c r="BX55" s="46">
        <v>111344</v>
      </c>
      <c r="BY55" s="46">
        <v>111345</v>
      </c>
      <c r="BZ55" s="46">
        <v>111346</v>
      </c>
      <c r="CA55" s="46">
        <v>111347</v>
      </c>
      <c r="CB55" s="46">
        <v>111348</v>
      </c>
      <c r="CC55" s="229">
        <v>111349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46">
        <v>111360</v>
      </c>
      <c r="CP55" s="46">
        <v>111361</v>
      </c>
      <c r="CQ55" s="46">
        <v>111362</v>
      </c>
      <c r="CR55" s="46">
        <v>111363</v>
      </c>
      <c r="CS55" s="46">
        <v>111364</v>
      </c>
      <c r="CT55" s="46">
        <v>111365</v>
      </c>
      <c r="CU55" s="46">
        <v>111366</v>
      </c>
      <c r="CV55" s="46">
        <v>111367</v>
      </c>
      <c r="CW55" s="46">
        <v>111368</v>
      </c>
      <c r="CX55" s="229">
        <v>111369</v>
      </c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46">
        <v>111380</v>
      </c>
      <c r="DK55" s="46">
        <v>111381</v>
      </c>
      <c r="DL55" s="46">
        <v>111382</v>
      </c>
      <c r="DM55" s="46">
        <v>111383</v>
      </c>
      <c r="DN55" s="46">
        <v>111384</v>
      </c>
      <c r="DO55" s="46">
        <v>111385</v>
      </c>
      <c r="DP55" s="46">
        <v>111386</v>
      </c>
      <c r="DQ55" s="46">
        <v>111387</v>
      </c>
      <c r="DR55" s="46">
        <v>111388</v>
      </c>
      <c r="DS55" s="229">
        <v>111389</v>
      </c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46">
        <v>111400</v>
      </c>
      <c r="EF55" s="46">
        <v>111401</v>
      </c>
      <c r="EG55" s="46">
        <v>111402</v>
      </c>
      <c r="EH55" s="46">
        <v>111403</v>
      </c>
      <c r="EI55" s="46">
        <v>111404</v>
      </c>
      <c r="EJ55" s="46">
        <v>111405</v>
      </c>
      <c r="EK55" s="46">
        <v>111406</v>
      </c>
      <c r="EL55" s="46">
        <v>111407</v>
      </c>
      <c r="EM55" s="46">
        <v>111408</v>
      </c>
      <c r="EN55" s="229">
        <v>111409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46"/>
      <c r="EQ55" s="46"/>
      <c r="ER55" s="46"/>
      <c r="ES55" s="46"/>
      <c r="ET55" s="46"/>
      <c r="EU55" s="46"/>
      <c r="EV55" s="46"/>
      <c r="EW55" s="46"/>
      <c r="EX55" s="46"/>
      <c r="EZ55" s="46">
        <v>111420</v>
      </c>
      <c r="FA55" s="46">
        <v>111421</v>
      </c>
      <c r="FB55" s="46">
        <v>111422</v>
      </c>
      <c r="FC55" s="46">
        <v>111423</v>
      </c>
      <c r="FD55" s="46">
        <v>111424</v>
      </c>
      <c r="FE55" s="46">
        <v>111425</v>
      </c>
      <c r="FF55" s="46">
        <v>111426</v>
      </c>
      <c r="FG55" s="46">
        <v>111427</v>
      </c>
      <c r="FH55" s="46">
        <v>111428</v>
      </c>
      <c r="FI55" s="229">
        <v>111429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46"/>
      <c r="FL55" s="46"/>
      <c r="FM55" s="46"/>
      <c r="FN55" s="46"/>
      <c r="FO55" s="46"/>
      <c r="FP55" s="46"/>
      <c r="FQ55" s="46"/>
      <c r="FR55" s="46"/>
      <c r="FS55" s="46"/>
      <c r="FU55" s="46">
        <v>111440</v>
      </c>
      <c r="FV55" s="46">
        <v>111441</v>
      </c>
      <c r="FW55" s="46">
        <v>111442</v>
      </c>
      <c r="FX55" s="46">
        <v>111443</v>
      </c>
      <c r="FY55" s="46">
        <v>111444</v>
      </c>
      <c r="FZ55" s="46">
        <v>111445</v>
      </c>
      <c r="GA55" s="46">
        <v>111446</v>
      </c>
      <c r="GB55" s="46">
        <v>111447</v>
      </c>
      <c r="GC55" s="46">
        <v>111448</v>
      </c>
      <c r="GD55" s="229">
        <v>111449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52"/>
      <c r="HU55" s="52"/>
      <c r="IP55" s="52"/>
      <c r="JK55" s="52"/>
      <c r="KF55" s="52"/>
      <c r="LA55" s="52"/>
      <c r="LV55" s="52"/>
      <c r="MQ55" s="52"/>
      <c r="NL55" s="52"/>
      <c r="OG55" s="52"/>
      <c r="PB55" s="52"/>
      <c r="PW55" s="52"/>
      <c r="QR55" s="52"/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v>111700</v>
      </c>
      <c r="E56" s="250" t="str">
        <f>VLOOKUP("ROTO Einfassung-Q-Serie",Sprachindex!A:Z,Info!$O$6,FALSE)</f>
        <v>ROTO Einfassung-Q-Serie</v>
      </c>
      <c r="F56" s="251"/>
      <c r="G56" s="251"/>
      <c r="H56" s="251"/>
      <c r="I56" s="101" t="str">
        <f>VLOOKUP("Maße:",Sprachindex!A:Z,Info!$O$6,FALSE)</f>
        <v>Maße:</v>
      </c>
      <c r="J56" s="252"/>
      <c r="K56" s="253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/>
      <c r="U56" s="46"/>
      <c r="V56" s="46"/>
      <c r="W56" s="46"/>
      <c r="X56" s="46"/>
      <c r="Y56" s="46"/>
      <c r="Z56" s="46"/>
      <c r="AA56" s="46"/>
      <c r="AB56" s="46"/>
      <c r="AD56" s="161"/>
      <c r="AE56" s="161"/>
      <c r="AF56" s="161"/>
      <c r="AG56" s="161"/>
      <c r="AH56" s="161"/>
      <c r="AI56" s="161"/>
      <c r="AJ56" s="161"/>
      <c r="AK56" s="161"/>
      <c r="AL56" s="161"/>
      <c r="AM56" s="231"/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161"/>
      <c r="AZ56" s="161"/>
      <c r="BA56" s="161"/>
      <c r="BB56" s="161"/>
      <c r="BC56" s="161"/>
      <c r="BD56" s="161"/>
      <c r="BE56" s="161"/>
      <c r="BF56" s="161"/>
      <c r="BG56" s="161"/>
      <c r="BH56" s="231"/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161"/>
      <c r="BU56" s="161"/>
      <c r="BV56" s="161"/>
      <c r="BW56" s="161"/>
      <c r="BX56" s="161"/>
      <c r="BY56" s="161"/>
      <c r="BZ56" s="161"/>
      <c r="CA56" s="161"/>
      <c r="CB56" s="161"/>
      <c r="CC56" s="231"/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161"/>
      <c r="CP56" s="161"/>
      <c r="CQ56" s="161"/>
      <c r="CR56" s="161"/>
      <c r="CS56" s="161"/>
      <c r="CT56" s="161"/>
      <c r="CU56" s="161"/>
      <c r="CV56" s="161"/>
      <c r="CW56" s="161"/>
      <c r="CX56" s="231"/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161"/>
      <c r="DK56" s="161"/>
      <c r="DL56" s="161"/>
      <c r="DM56" s="161"/>
      <c r="DN56" s="161"/>
      <c r="DO56" s="161"/>
      <c r="DP56" s="161"/>
      <c r="DQ56" s="161"/>
      <c r="DR56" s="161"/>
      <c r="DS56" s="231"/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161"/>
      <c r="EF56" s="161"/>
      <c r="EG56" s="161"/>
      <c r="EH56" s="161"/>
      <c r="EI56" s="161"/>
      <c r="EJ56" s="161"/>
      <c r="EK56" s="161"/>
      <c r="EL56" s="161"/>
      <c r="EM56" s="161"/>
      <c r="EN56" s="231"/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60"/>
      <c r="HR56" s="160"/>
      <c r="IM56" s="160"/>
      <c r="JH56" s="160"/>
      <c r="KC56" s="160"/>
      <c r="KX56" s="160"/>
      <c r="LS56" s="160"/>
      <c r="MN56" s="160"/>
      <c r="NI56" s="160"/>
      <c r="OD56" s="160"/>
      <c r="OY56" s="160"/>
      <c r="PT56" s="160"/>
      <c r="QO56" s="160"/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f t="shared" ref="D57:D63" si="2">IF($N$21=1,T57,IF($N$21=4,U57,IF($N$21=5,V57,IF($N$21=11,W57,IF($N$21=7,X57,IF($N$21=3,Y57,IF($N$21=6,Z57,IF($N$21=9,AA57,IF($N$21=2,AB57,IF($N$21=8,AC57,0))))))))))</f>
        <v>0</v>
      </c>
      <c r="E57" s="250" t="str">
        <f>VLOOKUP("Einzeltritt",Sprachindex!A:Z,Info!$O$6,FALSE)</f>
        <v>Einzeltritt</v>
      </c>
      <c r="F57" s="251"/>
      <c r="G57" s="251"/>
      <c r="H57" s="251"/>
      <c r="I57" s="251"/>
      <c r="J57" s="251"/>
      <c r="K57" s="257"/>
      <c r="L57" s="96" t="str">
        <f t="shared" si="0"/>
        <v/>
      </c>
      <c r="M57" s="97"/>
      <c r="O57" s="1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>
        <v>120070</v>
      </c>
      <c r="U57" s="46">
        <v>120071</v>
      </c>
      <c r="V57" s="46">
        <v>120072</v>
      </c>
      <c r="W57" s="46">
        <v>120073</v>
      </c>
      <c r="X57" s="46">
        <v>120074</v>
      </c>
      <c r="Y57" s="46">
        <v>120075</v>
      </c>
      <c r="Z57" s="46">
        <v>120076</v>
      </c>
      <c r="AA57" s="46">
        <v>120077</v>
      </c>
      <c r="AB57" s="46">
        <v>120078</v>
      </c>
      <c r="AC57" s="46">
        <v>120079</v>
      </c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f t="shared" si="2"/>
        <v>0</v>
      </c>
      <c r="E58" s="250" t="str">
        <f>VLOOKUP("Laufstegstütze FT250, inkl. Zubehör",Sprachindex!A:Z,Info!$O$6,FALSE)</f>
        <v>Laufstegstütze FT250, inkl. Zubehör</v>
      </c>
      <c r="F58" s="251"/>
      <c r="G58" s="251"/>
      <c r="H58" s="251"/>
      <c r="I58" s="251"/>
      <c r="J58" s="251"/>
      <c r="K58" s="257"/>
      <c r="L58" s="96" t="str">
        <f t="shared" si="0"/>
        <v/>
      </c>
      <c r="M58" s="97"/>
      <c r="O58" s="1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>
        <v>120080</v>
      </c>
      <c r="U58" s="46">
        <v>120081</v>
      </c>
      <c r="V58" s="46">
        <v>120082</v>
      </c>
      <c r="W58" s="46">
        <v>120083</v>
      </c>
      <c r="X58" s="46">
        <v>120084</v>
      </c>
      <c r="Y58" s="46">
        <v>120085</v>
      </c>
      <c r="Z58" s="46">
        <v>120086</v>
      </c>
      <c r="AA58" s="46">
        <v>120087</v>
      </c>
      <c r="AB58" s="46">
        <v>120088</v>
      </c>
      <c r="AC58" s="46">
        <v>120089</v>
      </c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v>649304</v>
      </c>
      <c r="E59" s="250" t="str">
        <f>VLOOKUP("Laufstegstütze auf zwei Fussteilen, geprüft nach EN 516-1-B (360 mm)",Sprachindex!A:Z,Info!$O$6,FALSE)</f>
        <v>Laufstegstütze auf zwei Fussteilen, geprüft nach EN 516-1-B (360 mm)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9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 t="shared" si="2"/>
        <v>0</v>
      </c>
      <c r="E60" s="250" t="str">
        <f>VLOOKUP("Laufsteg 250x1200mm, inkl. Befestigung ",Sprachindex!A:Z,Info!$O$6,FALSE)</f>
        <v xml:space="preserve">Laufsteg 250x1200mm, inkl. Befestigung </v>
      </c>
      <c r="F60" s="251"/>
      <c r="G60" s="251"/>
      <c r="H60" s="251"/>
      <c r="I60" s="251"/>
      <c r="J60" s="251"/>
      <c r="K60" s="257"/>
      <c r="L60" s="96" t="str">
        <f t="shared" si="0"/>
        <v/>
      </c>
      <c r="M60" s="9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>
        <v>120030</v>
      </c>
      <c r="U60" s="46">
        <v>120031</v>
      </c>
      <c r="V60" s="46">
        <v>120032</v>
      </c>
      <c r="W60" s="46">
        <v>120033</v>
      </c>
      <c r="X60" s="46">
        <v>120034</v>
      </c>
      <c r="Y60" s="46">
        <v>120035</v>
      </c>
      <c r="Z60" s="46">
        <v>120036</v>
      </c>
      <c r="AA60" s="46">
        <v>120037</v>
      </c>
      <c r="AB60" s="46">
        <v>120038</v>
      </c>
      <c r="AC60" s="46">
        <v>120039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f t="shared" si="2"/>
        <v>0</v>
      </c>
      <c r="E61" s="250" t="str">
        <f>VLOOKUP("Laufsteg 250x800mm, inkl. Befestigung ",Sprachindex!A:Z,Info!$O$6,FALSE)</f>
        <v xml:space="preserve">Laufsteg 250x800mm, inkl. Befestigung 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9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46">
        <v>120020</v>
      </c>
      <c r="U61" s="46">
        <v>120021</v>
      </c>
      <c r="V61" s="46">
        <v>120022</v>
      </c>
      <c r="W61" s="46">
        <v>120023</v>
      </c>
      <c r="X61" s="46">
        <v>120024</v>
      </c>
      <c r="Y61" s="46">
        <v>120025</v>
      </c>
      <c r="Z61" s="46">
        <v>120026</v>
      </c>
      <c r="AA61" s="46">
        <v>120027</v>
      </c>
      <c r="AB61" s="46">
        <v>120028</v>
      </c>
      <c r="AC61" s="46">
        <v>121075</v>
      </c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 t="shared" si="2"/>
        <v>0</v>
      </c>
      <c r="E62" s="250" t="str">
        <f>VLOOKUP("Laufsteg 250x600mm, inkl. Befestigung ",Sprachindex!A:Z,Info!$O$6,FALSE)</f>
        <v xml:space="preserve">Laufsteg 250x600mm, inkl. Befestigung 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97"/>
      <c r="O62" s="1"/>
      <c r="P62" s="191" t="str">
        <f>ROUNDUP($A62,0) &amp;" " &amp; Formeln!$A$111</f>
        <v>0 STK</v>
      </c>
      <c r="Q62" s="191" t="str">
        <f>ROUNDUP($A62,0) &amp;" " &amp; Formeln!$A$111</f>
        <v>0 STK</v>
      </c>
      <c r="T62" s="46">
        <v>120060</v>
      </c>
      <c r="U62" s="46">
        <v>120061</v>
      </c>
      <c r="V62" s="46">
        <v>120062</v>
      </c>
      <c r="W62" s="46">
        <v>120063</v>
      </c>
      <c r="X62" s="46">
        <v>120064</v>
      </c>
      <c r="Y62" s="46">
        <v>120065</v>
      </c>
      <c r="Z62" s="46">
        <v>120066</v>
      </c>
      <c r="AA62" s="46">
        <v>120067</v>
      </c>
      <c r="AB62" s="46">
        <v>120068</v>
      </c>
      <c r="AC62" s="46">
        <v>120069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f t="shared" si="2"/>
        <v>0</v>
      </c>
      <c r="E63" s="250" t="str">
        <f>VLOOKUP("Laufsteg 250x420mm, inkl. Befestigung ",Sprachindex!A:Z,Info!$O$6,FALSE)</f>
        <v xml:space="preserve">Laufsteg 250x420mm, inkl. Befestigung 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97"/>
      <c r="O63" s="1"/>
      <c r="P63" s="191" t="str">
        <f>ROUNDUP($A63/4,0)*4 &amp;" " &amp; Formeln!$A$111</f>
        <v>0 STK</v>
      </c>
      <c r="Q63" s="191" t="str">
        <f>ROUNDUP($A63,0) &amp;" " &amp; Formeln!$A$111</f>
        <v>0 STK</v>
      </c>
      <c r="T63" s="46">
        <v>120010</v>
      </c>
      <c r="U63" s="46">
        <v>120011</v>
      </c>
      <c r="V63" s="46">
        <v>120012</v>
      </c>
      <c r="W63" s="46">
        <v>120013</v>
      </c>
      <c r="X63" s="46">
        <v>120014</v>
      </c>
      <c r="Y63" s="46">
        <v>120015</v>
      </c>
      <c r="Z63" s="46">
        <v>120016</v>
      </c>
      <c r="AA63" s="46">
        <v>120017</v>
      </c>
      <c r="AB63" s="46">
        <v>120018</v>
      </c>
      <c r="AC63" s="46">
        <v>120019</v>
      </c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v>649305</v>
      </c>
      <c r="E64" s="250" t="str">
        <f>VLOOKUP("Laufsteg 360x800mm, inkl. Befestigung ",Sprachindex!A:Z,Info!$O$6,FALSE)</f>
        <v xml:space="preserve">Laufsteg 360x800mm, inkl. Befestigung 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97"/>
      <c r="O64" s="1"/>
      <c r="P64" s="191" t="str">
        <f>ROUNDUP($A64,0) &amp;" " &amp; Formeln!$A$111</f>
        <v>0 STK</v>
      </c>
      <c r="Q64" s="191" t="str">
        <f>ROUNDUP($A64,0) &amp;" " &amp; Formeln!$A$111</f>
        <v>0 STK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STK</v>
      </c>
      <c r="C65" s="95"/>
      <c r="D65" s="95">
        <v>649306</v>
      </c>
      <c r="E65" s="250" t="str">
        <f>VLOOKUP("Laufsteg 360x1200mm, inkl. Befestigung ",Sprachindex!A:Z,Info!$O$6,FALSE)</f>
        <v xml:space="preserve">Laufsteg 360x1200mm, inkl. Befestigung </v>
      </c>
      <c r="F65" s="251"/>
      <c r="G65" s="251"/>
      <c r="H65" s="251"/>
      <c r="I65" s="251"/>
      <c r="J65" s="251"/>
      <c r="K65" s="257"/>
      <c r="L65" s="96" t="str">
        <f t="shared" si="0"/>
        <v/>
      </c>
      <c r="M65" s="97"/>
      <c r="O65" s="1"/>
      <c r="P65" s="191" t="str">
        <f>ROUNDUP($A65,0) &amp;" " &amp; Formeln!$A$111</f>
        <v>0 STK</v>
      </c>
      <c r="Q65" s="191" t="str">
        <f>ROUNDUP($A65,0) &amp;" " &amp; Formeln!$A$111</f>
        <v>0 STK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STK</v>
      </c>
      <c r="C66" s="95"/>
      <c r="D66" s="100">
        <v>649001</v>
      </c>
      <c r="E66" s="250" t="str">
        <f>VLOOKUP("Laufstegverbinder 250mm breit",Sprachindex!A:Z,Info!$O$6,FALSE)</f>
        <v>Laufstegverbinder 250mm breit</v>
      </c>
      <c r="F66" s="251"/>
      <c r="G66" s="251"/>
      <c r="H66" s="251"/>
      <c r="I66" s="251"/>
      <c r="J66" s="251"/>
      <c r="K66" s="257"/>
      <c r="L66" s="96" t="str">
        <f t="shared" si="0"/>
        <v/>
      </c>
      <c r="M66" s="9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STK</v>
      </c>
      <c r="C67" s="95"/>
      <c r="D67" s="100">
        <v>649008</v>
      </c>
      <c r="E67" s="250" t="str">
        <f>VLOOKUP("Laufstegverbinder 360mm breit",Sprachindex!A:Z,Info!$O$6,FALSE)</f>
        <v>Laufstegverbinder 360mm breit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97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  <c r="T67" s="49" t="s">
        <v>29</v>
      </c>
      <c r="U67" s="49" t="s">
        <v>30</v>
      </c>
      <c r="V67" s="49" t="s">
        <v>31</v>
      </c>
      <c r="W67" s="49" t="s">
        <v>32</v>
      </c>
      <c r="X67" s="49" t="s">
        <v>33</v>
      </c>
      <c r="Y67" s="49" t="s">
        <v>34</v>
      </c>
      <c r="Z67" s="49" t="s">
        <v>35</v>
      </c>
      <c r="AA67" s="49" t="s">
        <v>36</v>
      </c>
      <c r="AB67" s="49" t="s">
        <v>37</v>
      </c>
      <c r="AC67" s="49" t="s">
        <v>38</v>
      </c>
      <c r="AD67" s="49" t="s">
        <v>29</v>
      </c>
      <c r="AE67" s="49" t="s">
        <v>30</v>
      </c>
      <c r="AF67" s="49" t="s">
        <v>31</v>
      </c>
      <c r="AG67" s="49" t="s">
        <v>32</v>
      </c>
      <c r="AH67" s="49" t="s">
        <v>33</v>
      </c>
      <c r="AI67" s="49" t="s">
        <v>34</v>
      </c>
      <c r="AJ67" s="49" t="s">
        <v>35</v>
      </c>
      <c r="AK67" s="49" t="s">
        <v>36</v>
      </c>
      <c r="AL67" s="49" t="s">
        <v>37</v>
      </c>
      <c r="AM67" s="49" t="s">
        <v>38</v>
      </c>
    </row>
    <row r="68" spans="1:39" ht="32.1" customHeight="1">
      <c r="A68" s="118"/>
      <c r="B68" s="96" t="str">
        <f>VLOOKUP("Stk",Sprachindex!A:Z,Info!$O$6,FALSE)</f>
        <v>STK</v>
      </c>
      <c r="C68" s="98"/>
      <c r="D68" s="100">
        <v>635661</v>
      </c>
      <c r="E68" s="250" t="str">
        <f>VLOOKUP("Sicherheitsdachhaken nach EN 517 B, mit Tellerfüßen",Sprachindex!A:Z,Info!$O$6,FALSE)</f>
        <v>Sicherheitsdachhaken nach EN 517 B, mit Tellerfüßen</v>
      </c>
      <c r="F68" s="251"/>
      <c r="G68" s="251"/>
      <c r="H68" s="251"/>
      <c r="I68" s="251"/>
      <c r="J68" s="251"/>
      <c r="K68" s="257"/>
      <c r="L68" s="96" t="str">
        <f t="shared" si="0"/>
        <v/>
      </c>
      <c r="M68" s="102"/>
      <c r="O68" s="1"/>
      <c r="P68" s="191" t="str">
        <f>ROUNDUP($A68,0) &amp;" " &amp; Formeln!$A$111</f>
        <v>0 STK</v>
      </c>
      <c r="Q68" s="191" t="str">
        <f>ROUNDUP($A68,0) &amp;" " &amp; Formeln!$A$111</f>
        <v>0 STK</v>
      </c>
    </row>
    <row r="69" spans="1:39" ht="32.1" customHeight="1">
      <c r="A69" s="118"/>
      <c r="B69" s="96" t="str">
        <f>VLOOKUP("Stk",Sprachindex!A:Z,Info!$O$6,FALSE)</f>
        <v>STK</v>
      </c>
      <c r="C69" s="98"/>
      <c r="D69" s="95">
        <f t="shared" ref="D69:D75" si="3">IF($N$21=1,T69,IF($N$21=4,U69,IF($N$21=5,V69,IF($N$21=11,W69,IF($N$21=7,X69,IF($N$21=3,Y69,IF($N$21=6,Z69,IF($N$21=9,AA69,IF($N$21=2,AB69,IF($N$21=8,AC69,0))))))))))</f>
        <v>0</v>
      </c>
      <c r="E69" s="250" t="str">
        <f>VLOOKUP("Dachsicherheitshaken, nach DIN EN 517 B",Sprachindex!A:Z,Info!$O$6,FALSE)</f>
        <v>Dachsicherheitshaken, nach DIN EN 517 B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102"/>
      <c r="O69" s="1"/>
      <c r="P69" s="191" t="str">
        <f>ROUNDUP($A69/12,0)*12 &amp;" " &amp; Formeln!$A$111</f>
        <v>0 STK</v>
      </c>
      <c r="Q69" s="191" t="str">
        <f>ROUNDUP($A69,0) &amp;" " &amp; Formeln!$A$111</f>
        <v>0 STK</v>
      </c>
      <c r="T69" s="46">
        <v>120000</v>
      </c>
      <c r="U69" s="46">
        <v>120001</v>
      </c>
      <c r="V69" s="46">
        <v>120002</v>
      </c>
      <c r="W69" s="46">
        <v>120003</v>
      </c>
      <c r="X69" s="46">
        <v>120004</v>
      </c>
      <c r="Y69" s="46">
        <v>120005</v>
      </c>
      <c r="Z69" s="46">
        <v>120006</v>
      </c>
      <c r="AA69" s="46">
        <v>120007</v>
      </c>
      <c r="AB69" s="46">
        <v>120008</v>
      </c>
      <c r="AC69" s="46">
        <v>120009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95">
        <f t="shared" si="3"/>
        <v>0</v>
      </c>
      <c r="E70" s="250" t="str">
        <f>VLOOKUP("Einfassung für Dachschindel DS.19",Sprachindex!A:Z,Info!$O$6,FALSE)</f>
        <v>Einfassung für Dachschindel DS.19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02"/>
      <c r="O70" s="1"/>
      <c r="P70" s="191" t="str">
        <f>ROUNDUP($A70,0) &amp;" " &amp; Formeln!$A$111</f>
        <v>0 STK</v>
      </c>
      <c r="Q70" s="191" t="str">
        <f>ROUNDUP($A70,0) &amp;" " &amp; Formeln!$A$111</f>
        <v>0 STK</v>
      </c>
      <c r="T70" s="46">
        <v>112680</v>
      </c>
      <c r="U70" s="46">
        <v>112681</v>
      </c>
      <c r="V70" s="46">
        <v>112682</v>
      </c>
      <c r="W70" s="46">
        <v>112683</v>
      </c>
      <c r="X70" s="46">
        <v>112684</v>
      </c>
      <c r="Y70" s="46">
        <v>112685</v>
      </c>
      <c r="Z70" s="46">
        <v>112686</v>
      </c>
      <c r="AA70" s="46">
        <v>112687</v>
      </c>
      <c r="AB70" s="46">
        <v>112688</v>
      </c>
      <c r="AC70" s="46">
        <v>112689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si="3"/>
        <v>0</v>
      </c>
      <c r="E71" s="250" t="str">
        <f>VLOOKUP("Einfassungsplatte, zum Einfalzen",Sprachindex!A:Z,Info!$O$6,FALSE)</f>
        <v>Einfassungsplatte, zum Einfalzen</v>
      </c>
      <c r="F71" s="251"/>
      <c r="G71" s="251"/>
      <c r="H71" s="251"/>
      <c r="I71" s="251"/>
      <c r="J71" s="251"/>
      <c r="K71" s="257"/>
      <c r="L71" s="96" t="str">
        <f t="shared" ref="L71:L94" si="4">IF(A71=0,"",IF($N$11=1,P71,Q71))</f>
        <v/>
      </c>
      <c r="M71" s="102"/>
      <c r="O71" s="1"/>
      <c r="P71" s="191" t="str">
        <f>ROUNDUP($A71/5,0)*5 &amp;" " &amp; Formeln!$A$111</f>
        <v>0 STK</v>
      </c>
      <c r="Q71" s="191" t="str">
        <f>ROUNDUP($A71,0) &amp;" " &amp; Formeln!$A$111</f>
        <v>0 STK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3"/>
        <v>0</v>
      </c>
      <c r="E72" s="250" t="str">
        <f>VLOOKUP("Universaleinfassungsplatte, 2-teilig ",Sprachindex!A:Z,Info!$O$6,FALSE)</f>
        <v xml:space="preserve">Universaleinfassungsplatte, 2-teilig </v>
      </c>
      <c r="F72" s="251"/>
      <c r="G72" s="251"/>
      <c r="H72" s="251"/>
      <c r="I72" s="251"/>
      <c r="J72" s="251"/>
      <c r="K72" s="257"/>
      <c r="L72" s="96" t="str">
        <f t="shared" si="4"/>
        <v/>
      </c>
      <c r="M72" s="102"/>
      <c r="O72" s="1"/>
      <c r="P72" s="191" t="str">
        <f>ROUNDUP($A72,0) &amp;" " &amp; Formeln!$A$111</f>
        <v>0 STK</v>
      </c>
      <c r="Q72" s="191" t="str">
        <f>ROUNDUP($A72,0) &amp;" " &amp; Formeln!$A$111</f>
        <v>0 STK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3"/>
        <v>0</v>
      </c>
      <c r="E73" s="250" t="str">
        <f>VLOOKUP("Entlüftungshaube 100",Sprachindex!A:Z,Info!$O$6,FALSE)</f>
        <v>Entlüftungshaube 100</v>
      </c>
      <c r="F73" s="251"/>
      <c r="G73" s="251"/>
      <c r="H73" s="251"/>
      <c r="I73" s="251"/>
      <c r="J73" s="251"/>
      <c r="K73" s="257"/>
      <c r="L73" s="96" t="str">
        <f t="shared" si="4"/>
        <v/>
      </c>
      <c r="M73" s="102"/>
      <c r="O73" s="1"/>
      <c r="P73" s="191" t="str">
        <f>ROUNDUP($A73,0) &amp;" " &amp; Formeln!$A$111</f>
        <v>0 STK</v>
      </c>
      <c r="Q73" s="191" t="str">
        <f>ROUNDUP($A73,0) &amp;" " &amp; Formeln!$A$111</f>
        <v>0 STK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3"/>
        <v>0</v>
      </c>
      <c r="E74" s="250" t="str">
        <f>VLOOKUP("Entlüftungsrohr DM 100",Sprachindex!A:Z,Info!$O$6,FALSE)</f>
        <v>Entlüftungsrohr DM 100</v>
      </c>
      <c r="F74" s="251"/>
      <c r="G74" s="251"/>
      <c r="H74" s="251"/>
      <c r="I74" s="251"/>
      <c r="J74" s="251"/>
      <c r="K74" s="257"/>
      <c r="L74" s="96" t="str">
        <f t="shared" si="4"/>
        <v/>
      </c>
      <c r="M74" s="102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 t="shared" si="3"/>
        <v>0</v>
      </c>
      <c r="E75" s="250" t="str">
        <f>VLOOKUP("Entlüftungsrohr DM 120",Sprachindex!A:Z,Info!$O$6,FALSE)</f>
        <v>Entlüftungsrohr DM 120</v>
      </c>
      <c r="F75" s="251"/>
      <c r="G75" s="251"/>
      <c r="H75" s="251"/>
      <c r="I75" s="251"/>
      <c r="J75" s="251"/>
      <c r="K75" s="257"/>
      <c r="L75" s="96" t="str">
        <f t="shared" si="4"/>
        <v/>
      </c>
      <c r="M75" s="102"/>
      <c r="O75" s="1"/>
      <c r="P75" s="191" t="str">
        <f>ROUNDUP($A75,0) &amp;" " &amp; Formeln!$A$111</f>
        <v>0 STK</v>
      </c>
      <c r="Q75" s="191" t="str">
        <f>ROUNDUP($A75,0) &amp;" " &amp; Formeln!$A$111</f>
        <v>0 STK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100">
        <v>340943</v>
      </c>
      <c r="E76" s="250" t="str">
        <f>VLOOKUP("Faltmanschette 100",Sprachindex!A:Z,Info!$O$6,FALSE)</f>
        <v>Faltmanschette 100</v>
      </c>
      <c r="F76" s="251"/>
      <c r="G76" s="251"/>
      <c r="H76" s="251"/>
      <c r="I76" s="251"/>
      <c r="J76" s="251"/>
      <c r="K76" s="257"/>
      <c r="L76" s="96" t="str">
        <f t="shared" si="4"/>
        <v/>
      </c>
      <c r="M76" s="102"/>
      <c r="O76" s="1"/>
      <c r="P76" s="191" t="str">
        <f>ROUNDUP($A76,0) &amp;" " &amp; Formeln!$A$111</f>
        <v>0 STK</v>
      </c>
      <c r="Q76" s="191" t="str">
        <f>ROUNDUP($A76,0) &amp;" " &amp; Formeln!$A$111</f>
        <v>0 STK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0" t="str">
        <f>VLOOKUP("Unterlagsplatte für DR44, DS.19",Sprachindex!A:Z,Info!$O$6,FALSE)</f>
        <v>Unterlagsplatte für DR44, DS.19</v>
      </c>
      <c r="F77" s="251"/>
      <c r="G77" s="251"/>
      <c r="H77" s="251"/>
      <c r="I77" s="251"/>
      <c r="J77" s="251"/>
      <c r="K77" s="257"/>
      <c r="L77" s="96" t="str">
        <f t="shared" si="4"/>
        <v/>
      </c>
      <c r="M77" s="102"/>
      <c r="O77" s="1"/>
      <c r="P77" s="191" t="str">
        <f>ROUNDUP($A77/10,0)*10 &amp;" " &amp; Formeln!$A$111</f>
        <v>0 STK</v>
      </c>
      <c r="Q77" s="191" t="str">
        <f>ROUNDUP($A77,0) &amp;" " &amp; Formeln!$A$111</f>
        <v>0 STK</v>
      </c>
      <c r="T77" s="46">
        <v>112381</v>
      </c>
      <c r="U77" s="46">
        <v>112382</v>
      </c>
      <c r="V77" s="46">
        <v>112383</v>
      </c>
      <c r="W77" s="46">
        <v>1123824</v>
      </c>
      <c r="X77" s="46">
        <v>112385</v>
      </c>
      <c r="Y77" s="46">
        <v>112386</v>
      </c>
      <c r="Z77" s="46">
        <v>112388</v>
      </c>
      <c r="AA77" s="46">
        <v>7</v>
      </c>
      <c r="AB77" s="46">
        <v>112389</v>
      </c>
      <c r="AD77" s="46">
        <v>112361</v>
      </c>
      <c r="AE77" s="46">
        <v>112362</v>
      </c>
      <c r="AF77" s="46">
        <v>112363</v>
      </c>
      <c r="AG77" s="46">
        <v>112364</v>
      </c>
      <c r="AH77" s="46">
        <v>112365</v>
      </c>
      <c r="AI77" s="46">
        <v>112366</v>
      </c>
      <c r="AJ77" s="46">
        <v>112368</v>
      </c>
      <c r="AK77" s="46">
        <v>122367</v>
      </c>
      <c r="AL77" s="46">
        <v>122369</v>
      </c>
      <c r="AM77" s="1">
        <v>112370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95">
        <f t="shared" ref="D78:D91" si="5">IF($N$21=1,T78,IF($N$21=4,U78,IF($N$21=5,V78,IF($N$21=11,W78,IF($N$21=7,X78,IF($N$21=3,Y78,IF($N$21=6,Z78,IF($N$21=9,AA78,IF($N$21=2,AB78,IF($N$21=8,AC78,0))))))))))</f>
        <v>0</v>
      </c>
      <c r="E78" s="250" t="str">
        <f>VLOOKUP("Schneestopper, Typ FX12/R16/DS.19 ",Sprachindex!A:Z,Info!$O$6,FALSE)</f>
        <v xml:space="preserve">Schneestopper, Typ FX12/R16/DS.19 </v>
      </c>
      <c r="F78" s="251"/>
      <c r="G78" s="251"/>
      <c r="H78" s="251"/>
      <c r="I78" s="251"/>
      <c r="J78" s="251"/>
      <c r="K78" s="257"/>
      <c r="L78" s="96" t="str">
        <f t="shared" si="4"/>
        <v/>
      </c>
      <c r="M78" s="102"/>
      <c r="O78" s="1"/>
      <c r="P78" s="191" t="str">
        <f>ROUNDUP($A78/100,0)*100 &amp;" " &amp; Formeln!$A$111</f>
        <v>0 STK</v>
      </c>
      <c r="Q78" s="191" t="str">
        <f>ROUNDUP($A78,0) &amp;" " &amp; Formeln!$A$111</f>
        <v>0 STK</v>
      </c>
      <c r="T78" s="46">
        <v>112041</v>
      </c>
      <c r="U78" s="46">
        <v>112042</v>
      </c>
      <c r="V78" s="46">
        <v>112043</v>
      </c>
      <c r="W78" s="46">
        <v>112044</v>
      </c>
      <c r="X78" s="46">
        <v>112045</v>
      </c>
      <c r="Y78" s="46">
        <v>112046</v>
      </c>
      <c r="Z78" s="46">
        <v>112048</v>
      </c>
      <c r="AA78" s="46">
        <v>112047</v>
      </c>
      <c r="AB78" s="46">
        <v>112049</v>
      </c>
      <c r="AC78" s="46">
        <v>112050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 t="shared" si="5"/>
        <v>0</v>
      </c>
      <c r="E79" s="250" t="str">
        <f>VLOOKUP("Haken für Schneerechensystem, inkl. Befestigungsmaterial",Sprachindex!A:Z,Info!$O$6,FALSE)</f>
        <v>Haken für Schneerechensystem, inkl. Befestigungsmaterial</v>
      </c>
      <c r="F79" s="251"/>
      <c r="G79" s="251"/>
      <c r="H79" s="251"/>
      <c r="I79" s="251"/>
      <c r="J79" s="251"/>
      <c r="K79" s="257"/>
      <c r="L79" s="96" t="str">
        <f t="shared" si="4"/>
        <v/>
      </c>
      <c r="M79" s="102"/>
      <c r="O79" s="1"/>
      <c r="P79" s="191" t="str">
        <f>ROUNDUP($A79/2,0)*2 &amp;" " &amp; Formeln!$A$111</f>
        <v>0 STK</v>
      </c>
      <c r="Q79" s="191" t="str">
        <f>ROUNDUP($A79,0) &amp;" " &amp; Formeln!$A$111</f>
        <v>0 STK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lfm</v>
      </c>
      <c r="C80" s="98"/>
      <c r="D80" s="95">
        <f t="shared" si="5"/>
        <v>0</v>
      </c>
      <c r="E80" s="250" t="str">
        <f>VLOOKUP("Einlegeprofil f.Schneerechensystem, 3m",Sprachindex!A:Z,Info!$O$6,FALSE)</f>
        <v>Einlegeprofil f.Schneerechensystem, 3m</v>
      </c>
      <c r="F80" s="251"/>
      <c r="G80" s="251"/>
      <c r="H80" s="251"/>
      <c r="I80" s="251"/>
      <c r="J80" s="251"/>
      <c r="K80" s="257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lfm                (=0 STK)</v>
      </c>
      <c r="Q80" s="191" t="str">
        <f>ROUNDUP($A80/3,0)*3 &amp;" " &amp; Formeln!$A$112 &amp; "                " &amp; "(="&amp;ROUNDUP($A80/3,0) &amp; " " &amp;Formeln!$A$111 &amp; ")"</f>
        <v>0 lfm                (=0 STK)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STK</v>
      </c>
      <c r="C81" s="98"/>
      <c r="D81" s="95">
        <f t="shared" si="5"/>
        <v>0</v>
      </c>
      <c r="E81" s="250" t="str">
        <f>VLOOKUP("Eiskralle f. Einlegeprofil",Sprachindex!A:Z,Info!$O$6,FALSE)</f>
        <v>Eiskralle f. Einlegeprofil</v>
      </c>
      <c r="F81" s="251"/>
      <c r="G81" s="251"/>
      <c r="H81" s="251"/>
      <c r="I81" s="251"/>
      <c r="J81" s="251"/>
      <c r="K81" s="257"/>
      <c r="L81" s="96" t="str">
        <f t="shared" si="4"/>
        <v/>
      </c>
      <c r="M81" s="102"/>
      <c r="O81" s="1"/>
      <c r="P81" s="191" t="str">
        <f>ROUNDUP($A81/100,0)*100 &amp;" " &amp; Formeln!$A$111</f>
        <v>0 STK</v>
      </c>
      <c r="Q81" s="191" t="str">
        <f>ROUNDUP($A81,0) &amp;" " &amp; Formeln!$A$111</f>
        <v>0 STK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STK</v>
      </c>
      <c r="C82" s="98"/>
      <c r="D82" s="95">
        <f t="shared" si="5"/>
        <v>0</v>
      </c>
      <c r="E82" s="250" t="str">
        <f>VLOOKUP("Abschluss f. Schneerechensystem",Sprachindex!A:Z,Info!$O$6,FALSE)</f>
        <v>Abschluss f. Schneerechensystem</v>
      </c>
      <c r="F82" s="251"/>
      <c r="G82" s="251"/>
      <c r="H82" s="251"/>
      <c r="I82" s="251"/>
      <c r="J82" s="251"/>
      <c r="K82" s="257"/>
      <c r="L82" s="96" t="str">
        <f t="shared" si="4"/>
        <v/>
      </c>
      <c r="M82" s="102"/>
      <c r="O82" s="1"/>
      <c r="P82" s="191" t="str">
        <f>ROUNDUP($A82/2,0)*2 &amp;" " &amp; Formeln!$A$111</f>
        <v>0 STK</v>
      </c>
      <c r="Q82" s="191" t="str">
        <f>ROUNDUP($A82,0) &amp;" " &amp; Formeln!$A$111</f>
        <v>0 STK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STK</v>
      </c>
      <c r="C83" s="98"/>
      <c r="D83" s="95">
        <f t="shared" si="5"/>
        <v>0</v>
      </c>
      <c r="E83" s="250" t="str">
        <f>VLOOKUP("Gebirgsschneefangstütze, inkl. Befestigungsmaterial",Sprachindex!A:Z,Info!$O$6,FALSE)</f>
        <v>Gebirgsschneefangstütze, inkl. Befestigungsmaterial</v>
      </c>
      <c r="F83" s="251"/>
      <c r="G83" s="251"/>
      <c r="H83" s="251"/>
      <c r="I83" s="251"/>
      <c r="J83" s="251"/>
      <c r="K83" s="257"/>
      <c r="L83" s="96" t="str">
        <f t="shared" si="4"/>
        <v/>
      </c>
      <c r="M83" s="102"/>
      <c r="O83" s="1"/>
      <c r="P83" s="191" t="str">
        <f>ROUNDUP($A83/2,0)*2 &amp;" " &amp; Formeln!$A$111</f>
        <v>0 STK</v>
      </c>
      <c r="Q83" s="191" t="str">
        <f>ROUNDUP($A83,0) &amp;" " &amp; Formeln!$A$111</f>
        <v>0 STK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STK</v>
      </c>
      <c r="C84" s="98"/>
      <c r="D84" s="95">
        <f t="shared" si="5"/>
        <v>0</v>
      </c>
      <c r="E84" s="250" t="str">
        <f>VLOOKUP("Kaminhut, inkl. Kaminstreben, 700x700mm",Sprachindex!A:Z,Info!$O$6,FALSE)</f>
        <v>Kaminhut, inkl. Kaminstreben, 700x700mm</v>
      </c>
      <c r="F84" s="251"/>
      <c r="G84" s="251"/>
      <c r="H84" s="251"/>
      <c r="I84" s="251"/>
      <c r="J84" s="251"/>
      <c r="K84" s="257"/>
      <c r="L84" s="96" t="str">
        <f t="shared" si="4"/>
        <v/>
      </c>
      <c r="M84" s="102"/>
      <c r="O84" s="1"/>
      <c r="P84" s="191" t="str">
        <f>ROUNDUP($A84,0) &amp;" " &amp; Formeln!$A$111</f>
        <v>0 STK</v>
      </c>
      <c r="Q84" s="191" t="str">
        <f>ROUNDUP($A84,0) &amp;" " &amp; Formeln!$A$111</f>
        <v>0 STK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STK</v>
      </c>
      <c r="C85" s="98"/>
      <c r="D85" s="95">
        <f t="shared" si="5"/>
        <v>0</v>
      </c>
      <c r="E85" s="250" t="str">
        <f>VLOOKUP("Kaminhut, inkl. Kaminstreben, 800x800mm",Sprachindex!A:Z,Info!$O$6,FALSE)</f>
        <v>Kaminhut, inkl. Kaminstreben, 800x800mm</v>
      </c>
      <c r="F85" s="251"/>
      <c r="G85" s="251"/>
      <c r="H85" s="251"/>
      <c r="I85" s="251"/>
      <c r="J85" s="251"/>
      <c r="K85" s="257"/>
      <c r="L85" s="96" t="str">
        <f t="shared" si="4"/>
        <v/>
      </c>
      <c r="M85" s="102"/>
      <c r="O85" s="1"/>
      <c r="P85" s="191" t="str">
        <f>ROUNDUP($A85,0) &amp;" " &amp; Formeln!$A$111</f>
        <v>0 STK</v>
      </c>
      <c r="Q85" s="191" t="str">
        <f>ROUNDUP($A85,0) &amp;" " &amp; Formeln!$A$111</f>
        <v>0 STK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STK</v>
      </c>
      <c r="C86" s="98"/>
      <c r="D86" s="95">
        <f t="shared" si="5"/>
        <v>0</v>
      </c>
      <c r="E86" s="250" t="str">
        <f>VLOOKUP("Kaminhut, inkl. Kaminstreben, 1000x700mm",Sprachindex!A:Z,Info!$O$6,FALSE)</f>
        <v>Kaminhut, inkl. Kaminstreben, 1000x700mm</v>
      </c>
      <c r="F86" s="251"/>
      <c r="G86" s="251"/>
      <c r="H86" s="251"/>
      <c r="I86" s="251"/>
      <c r="J86" s="251"/>
      <c r="K86" s="257"/>
      <c r="L86" s="96" t="str">
        <f t="shared" si="4"/>
        <v/>
      </c>
      <c r="M86" s="102"/>
      <c r="O86" s="1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STK</v>
      </c>
      <c r="C87" s="98"/>
      <c r="D87" s="95">
        <f t="shared" si="5"/>
        <v>0</v>
      </c>
      <c r="E87" s="250" t="str">
        <f>VLOOKUP("Kaminhut, inkl. Kaminstreben, 1100x800mm",Sprachindex!A:Z,Info!$O$6,FALSE)</f>
        <v>Kaminhut, inkl. Kaminstreben, 1100x800mm</v>
      </c>
      <c r="F87" s="251"/>
      <c r="G87" s="251"/>
      <c r="H87" s="251"/>
      <c r="I87" s="251"/>
      <c r="J87" s="251"/>
      <c r="K87" s="257"/>
      <c r="L87" s="96" t="str">
        <f t="shared" si="4"/>
        <v/>
      </c>
      <c r="M87" s="102"/>
      <c r="O87" s="1"/>
      <c r="P87" s="191" t="str">
        <f>ROUNDUP($A87,0) &amp;" " &amp; Formeln!$A$111</f>
        <v>0 STK</v>
      </c>
      <c r="Q87" s="191" t="str">
        <f>ROUNDUP($A87,0) &amp;" " &amp; Formeln!$A$111</f>
        <v>0 STK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STK</v>
      </c>
      <c r="C88" s="98"/>
      <c r="D88" s="95">
        <f t="shared" si="5"/>
        <v>0</v>
      </c>
      <c r="E88" s="250" t="str">
        <f>VLOOKUP("Kaminhut, inkl. Kaminstreben, 1500x800mm",Sprachindex!A:Z,Info!$O$6,FALSE)</f>
        <v>Kaminhut, inkl. Kaminstreben, 1500x800mm</v>
      </c>
      <c r="F88" s="251"/>
      <c r="G88" s="251"/>
      <c r="H88" s="251"/>
      <c r="I88" s="251"/>
      <c r="J88" s="251"/>
      <c r="K88" s="257"/>
      <c r="L88" s="96" t="str">
        <f t="shared" si="4"/>
        <v/>
      </c>
      <c r="M88" s="102"/>
      <c r="O88" s="1"/>
      <c r="P88" s="191" t="str">
        <f>ROUNDUP($A88,0) &amp;" " &amp; Formeln!$A$111</f>
        <v>0 STK</v>
      </c>
      <c r="Q88" s="191" t="str">
        <f>ROUNDUP($A88,0) &amp;" " &amp; Formeln!$A$111</f>
        <v>0 STK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STK</v>
      </c>
      <c r="C89" s="98"/>
      <c r="D89" s="95">
        <f t="shared" si="5"/>
        <v>0</v>
      </c>
      <c r="E89" s="250" t="str">
        <f>VLOOKUP("Kaminstreben, gebogen",Sprachindex!A:Z,Info!$O$6,FALSE)</f>
        <v>Kaminstreben, gebogen</v>
      </c>
      <c r="F89" s="251"/>
      <c r="G89" s="251"/>
      <c r="H89" s="251"/>
      <c r="I89" s="251"/>
      <c r="J89" s="251"/>
      <c r="K89" s="257"/>
      <c r="L89" s="96" t="str">
        <f t="shared" si="4"/>
        <v/>
      </c>
      <c r="M89" s="102"/>
      <c r="O89" s="1"/>
      <c r="P89" s="191" t="str">
        <f>ROUNDUP($A89/10,0)*10 &amp;" " &amp; Formeln!$A$111</f>
        <v>0 STK</v>
      </c>
      <c r="Q89" s="191" t="str">
        <f>ROUNDUP($A89,0) &amp;" " &amp; Formeln!$A$111</f>
        <v>0 STK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lfm</v>
      </c>
      <c r="C90" s="98"/>
      <c r="D90" s="95">
        <f t="shared" si="5"/>
        <v>0</v>
      </c>
      <c r="E90" s="250" t="str">
        <f>VLOOKUP("Kaminstreben, 7x35x3000mm",Sprachindex!A:Z,Info!$O$6,FALSE)</f>
        <v>Kaminstreben, 7x35x3000mm</v>
      </c>
      <c r="F90" s="251"/>
      <c r="G90" s="251"/>
      <c r="H90" s="251"/>
      <c r="I90" s="251"/>
      <c r="J90" s="251"/>
      <c r="K90" s="257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lfm                (=0 STK)</v>
      </c>
      <c r="Q90" s="191" t="str">
        <f>ROUNDUP($A90/3,0)*3 &amp;" " &amp; Formeln!$A$112 &amp; "                " &amp; "(="&amp;ROUNDUP($A90/3,0) &amp; " " &amp;Formeln!$A$111 &amp; ")"</f>
        <v>0 lfm                (=0 STK)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STK</v>
      </c>
      <c r="C91" s="98"/>
      <c r="D91" s="95">
        <f t="shared" si="5"/>
        <v>0</v>
      </c>
      <c r="E91" s="250" t="str">
        <f>VLOOKUP("Hauerbuckel ",Sprachindex!A:Z,Info!$O$6,FALSE)</f>
        <v xml:space="preserve">Hauerbuckel </v>
      </c>
      <c r="F91" s="251"/>
      <c r="G91" s="251"/>
      <c r="H91" s="251"/>
      <c r="I91" s="251"/>
      <c r="J91" s="251"/>
      <c r="K91" s="257"/>
      <c r="L91" s="96" t="str">
        <f t="shared" si="4"/>
        <v/>
      </c>
      <c r="M91" s="102"/>
      <c r="O91" s="1"/>
      <c r="P91" s="191" t="str">
        <f>ROUNDUP($A91,0) &amp;" " &amp; Formeln!$A$111</f>
        <v>0 STK</v>
      </c>
      <c r="Q91" s="191" t="str">
        <f>ROUNDUP($A91,0) &amp;" " &amp; Formeln!$A$111</f>
        <v>0 STK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STK</v>
      </c>
      <c r="C92" s="98"/>
      <c r="D92" s="95">
        <v>340404</v>
      </c>
      <c r="E92" s="250" t="str">
        <f>VLOOKUP("Dachleitungshalter für Blitzschutzdraht",Sprachindex!A:Z,Info!$O$6,FALSE)</f>
        <v>Dachleitungshalter für Blitzschutzdraht</v>
      </c>
      <c r="F92" s="251"/>
      <c r="G92" s="251"/>
      <c r="H92" s="251"/>
      <c r="I92" s="251"/>
      <c r="J92" s="251"/>
      <c r="K92" s="257"/>
      <c r="L92" s="96" t="str">
        <f t="shared" si="4"/>
        <v/>
      </c>
      <c r="M92" s="102"/>
      <c r="O92" s="1"/>
      <c r="P92" s="191" t="str">
        <f>ROUNDUP($A92/50,0)*50 &amp;" " &amp; Formeln!$A$111</f>
        <v>0 STK</v>
      </c>
      <c r="Q92" s="191" t="str">
        <f>ROUNDUP($A92,0) &amp;" " &amp; Formeln!$A$111</f>
        <v>0 STK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STK</v>
      </c>
      <c r="C93" s="95"/>
      <c r="D93" s="95">
        <v>420501</v>
      </c>
      <c r="E93" s="258" t="str">
        <f>VLOOKUP("Spezialkleber",Sprachindex!A:Z,Info!$O$6,FALSE)</f>
        <v>Spezialkleber</v>
      </c>
      <c r="F93" s="259"/>
      <c r="G93" s="259"/>
      <c r="H93" s="259"/>
      <c r="I93" s="259"/>
      <c r="J93" s="259"/>
      <c r="K93" s="260"/>
      <c r="L93" s="96" t="str">
        <f t="shared" si="4"/>
        <v/>
      </c>
      <c r="M93" s="102"/>
      <c r="O93" s="1"/>
      <c r="P93" s="191" t="str">
        <f>ROUNDUP($A93,0) &amp;" " &amp; Formeln!$A$111</f>
        <v>0 STK</v>
      </c>
      <c r="Q93" s="191" t="str">
        <f>ROUNDUP($A93,0) &amp;" " &amp; Formeln!$A$111</f>
        <v>0 STK</v>
      </c>
    </row>
    <row r="94" spans="1:29" ht="32.1" customHeight="1">
      <c r="A94" s="118"/>
      <c r="B94" s="96" t="str">
        <f>VLOOKUP("Set",Sprachindex!A:Z,Info!$O$6,FALSE)</f>
        <v>Set</v>
      </c>
      <c r="C94" s="98"/>
      <c r="D94" s="95">
        <v>420500</v>
      </c>
      <c r="E94" s="250" t="str">
        <f>VLOOKUP("Spezialkleber-Set",Sprachindex!A:Z,Info!$O$6,FALSE)</f>
        <v>Spezialkleber-Set</v>
      </c>
      <c r="F94" s="251"/>
      <c r="G94" s="251"/>
      <c r="H94" s="251"/>
      <c r="I94" s="251"/>
      <c r="J94" s="251"/>
      <c r="K94" s="257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Set</v>
      </c>
      <c r="Q94" s="191" t="str">
        <f>ROUNDUP($A94,0) &amp;" " &amp; IF($A94&lt;=1,Formeln!$A$119,IF($A94&gt;1,Formeln!$A$120,""))</f>
        <v>0 Set</v>
      </c>
    </row>
    <row r="95" spans="1:29" ht="32.1" customHeight="1">
      <c r="A95" s="118"/>
      <c r="B95" s="96" t="str">
        <f>VLOOKUP("Stk",Sprachindex!A:Z,Info!$O$6,FALSE)</f>
        <v>STK</v>
      </c>
      <c r="C95" s="95"/>
      <c r="D95" s="95">
        <v>340415</v>
      </c>
      <c r="E95" s="292" t="str">
        <f>VLOOKUP("SDH Schraubensatz f.Aufsparrendäm.",Sprachindex!A:Z,Info!$O$6,FALSE)</f>
        <v>SDH Schraubensatz f.Aufsparrendäm.</v>
      </c>
      <c r="F95" s="292"/>
      <c r="G95" s="292"/>
      <c r="H95" s="292"/>
      <c r="I95" s="292"/>
      <c r="J95" s="292"/>
      <c r="K95" s="292"/>
      <c r="L95" s="96" t="str">
        <f>IF($A95=0,"",IF($N$11=1,P95,Q95))</f>
        <v/>
      </c>
      <c r="M95" s="102"/>
      <c r="O95" s="1"/>
      <c r="P95" s="191" t="str">
        <f>ROUNDUP($A95,0) &amp;" " &amp; Formeln!$A$111</f>
        <v>0 STK</v>
      </c>
      <c r="Q95" s="191" t="str">
        <f>ROUNDUP($A95,0) &amp;" " &amp; Formeln!$A$111</f>
        <v>0 STK</v>
      </c>
    </row>
    <row r="96" spans="1:29" ht="32.1" customHeight="1">
      <c r="A96" s="118"/>
      <c r="B96" s="96" t="str">
        <f>VLOOKUP("Stk",Sprachindex!A:Z,Info!$O$6,FALSE)</f>
        <v>STK</v>
      </c>
      <c r="C96" s="98"/>
      <c r="D96" s="95">
        <v>340416</v>
      </c>
      <c r="E96" s="250" t="str">
        <f>VLOOKUP("SDH Bohrsatz,für Aufsparrendämmung",Sprachindex!A:Z,Info!$O$6,FALSE)</f>
        <v>SDH Bohrsatz,für Aufsparrendämmung</v>
      </c>
      <c r="F96" s="251"/>
      <c r="G96" s="251"/>
      <c r="H96" s="251"/>
      <c r="I96" s="251"/>
      <c r="J96" s="251"/>
      <c r="K96" s="257"/>
      <c r="L96" s="96" t="str">
        <f>IF($A96=0,"",IF($N$11=1,P96,Q96))</f>
        <v/>
      </c>
      <c r="M96" s="102"/>
      <c r="O96" s="1"/>
      <c r="P96" s="191" t="str">
        <f>ROUNDUP($A96,0) &amp;" " &amp; Formeln!$A$111</f>
        <v>0 STK</v>
      </c>
      <c r="Q96" s="191" t="str">
        <f>ROUNDUP($A96,0) &amp;" " &amp; Formeln!$A$111</f>
        <v>0 STK</v>
      </c>
    </row>
    <row r="97" spans="1:4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65" t="str">
        <f>VLOOKUP("Lochblech, 0,70x1000mm
in Rollen zu 24kg ",Sprachindex!A:Z,Info!$O$6,FALSE)</f>
        <v xml:space="preserve">Lochblech, 0,70x1000mm
in Rollen zu 24kg </v>
      </c>
      <c r="F97" s="266"/>
      <c r="G97" s="266"/>
      <c r="H97" s="266"/>
      <c r="I97" s="252"/>
      <c r="J97" s="267"/>
      <c r="K97" s="267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Rolle)</v>
      </c>
      <c r="Q97" s="191" t="str">
        <f>ROUNDUP($A97,0) &amp; " " &amp; Formeln!$A$114 &amp; "        " &amp; "(="&amp;ROUNDUP($A97/24,1) &amp; " " &amp;R97&amp; ")"</f>
        <v>0 kg        (=0 Rolle)</v>
      </c>
      <c r="R97" s="8" t="str">
        <f>IF(A97&gt;24, Formeln!A116, Formeln!A115)</f>
        <v>Rolle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439" ht="50.1" customHeight="1">
      <c r="A98" s="118"/>
      <c r="B98" s="96" t="str">
        <f>VLOOKUP("kg",Sprachindex!A:Z,Info!$O$6,FALSE)</f>
        <v>kg</v>
      </c>
      <c r="C98" s="98"/>
      <c r="D98" s="100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250" t="str">
        <f>VLOOKUP("PREFALZ 0.7x1000 stucco, in Rollen zu 60kg",Sprachindex!A:Z,Info!$O$6,FALSE)</f>
        <v>PREFALZ 0.7x1000 stucco, in Rollen zu 60kg</v>
      </c>
      <c r="F98" s="251"/>
      <c r="G98" s="251"/>
      <c r="H98" s="103" t="str">
        <f>VLOOKUP("Oberfläche:",Sprachindex!A:Z,Info!$O$6,FALSE)</f>
        <v>Oberfläche:</v>
      </c>
      <c r="I98" s="104"/>
      <c r="J98" s="101" t="str">
        <f>VLOOKUP("Farbe:",Sprachindex!A:Z,Info!$O$6,FALSE)</f>
        <v>Farbe: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Rolle)</v>
      </c>
      <c r="Q98" s="208" t="str">
        <f>ROUNDUP($A98,0) &amp; " " &amp; Formeln!$A$114 &amp; "        " &amp; "(="&amp;ROUNDUP($A98/60,1) &amp; " " &amp;R98&amp; ")"</f>
        <v>0 kg        (=0 Rolle)</v>
      </c>
      <c r="R98" s="8" t="str">
        <f>IF(A98&gt;60, Formeln!A116, Formeln!A115)</f>
        <v>Rolle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439" ht="32.1" customHeight="1">
      <c r="A99" s="118"/>
      <c r="B99" s="196"/>
      <c r="C99" s="196"/>
      <c r="D99" s="196"/>
      <c r="E99" s="268"/>
      <c r="F99" s="269"/>
      <c r="G99" s="269"/>
      <c r="H99" s="269"/>
      <c r="I99" s="269"/>
      <c r="J99" s="269"/>
      <c r="K99" s="270"/>
      <c r="L99" s="196"/>
      <c r="M99" s="197"/>
      <c r="O99" s="1"/>
      <c r="P99" s="8"/>
      <c r="Q99" s="8"/>
    </row>
    <row r="100" spans="1:439" ht="32.1" customHeight="1">
      <c r="A100" s="118"/>
      <c r="B100" s="196"/>
      <c r="C100" s="196"/>
      <c r="D100" s="196"/>
      <c r="E100" s="268"/>
      <c r="F100" s="269"/>
      <c r="G100" s="269"/>
      <c r="H100" s="269"/>
      <c r="I100" s="269"/>
      <c r="J100" s="269"/>
      <c r="K100" s="270"/>
      <c r="L100" s="196"/>
      <c r="M100" s="197"/>
      <c r="O100" s="1"/>
      <c r="P100" s="8"/>
      <c r="Q100" s="8"/>
    </row>
    <row r="101" spans="1:439" ht="32.1" customHeight="1" thickBot="1">
      <c r="A101" s="222"/>
      <c r="B101" s="199"/>
      <c r="C101" s="199"/>
      <c r="D101" s="199"/>
      <c r="E101" s="271"/>
      <c r="F101" s="272"/>
      <c r="G101" s="272"/>
      <c r="H101" s="272"/>
      <c r="I101" s="272"/>
      <c r="J101" s="272"/>
      <c r="K101" s="273"/>
      <c r="L101" s="199"/>
      <c r="M101" s="200"/>
      <c r="O101" s="1"/>
      <c r="P101" s="8"/>
      <c r="Q101" s="8"/>
    </row>
    <row r="102" spans="1:439" ht="17.399999999999999">
      <c r="A102" s="86"/>
      <c r="B102" s="86"/>
      <c r="C102" s="8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</row>
    <row r="103" spans="1:439" ht="17.399999999999999">
      <c r="A103" s="86"/>
      <c r="B103" s="86"/>
      <c r="C103" s="108" t="str">
        <f>VLOOKUP("Zusatzvermerk:",Sprachindex!A:Z,Info!$O$6,FALSE)</f>
        <v>Zusatzvermerk:</v>
      </c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</row>
    <row r="104" spans="1:439" s="9" customFormat="1" ht="17.399999999999999">
      <c r="A104" s="86"/>
      <c r="B104" s="86"/>
      <c r="C104" s="86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  <c r="N104" s="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</row>
    <row r="105" spans="1:439" s="9" customFormat="1" ht="17.399999999999999">
      <c r="A105" s="86"/>
      <c r="B105" s="86"/>
      <c r="C105" s="86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</row>
    <row r="106" spans="1:439" s="9" customFormat="1" ht="17.399999999999999">
      <c r="A106" s="86"/>
      <c r="B106" s="86"/>
      <c r="C106" s="86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</row>
    <row r="107" spans="1:439" s="9" customFormat="1" ht="17.399999999999999">
      <c r="A107" s="86"/>
      <c r="B107" s="86"/>
      <c r="C107" s="86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</row>
    <row r="108" spans="1:439" s="9" customFormat="1" ht="13.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</row>
    <row r="109" spans="1:439" s="9" customFormat="1" ht="13.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</row>
    <row r="110" spans="1:439" s="9" customFormat="1" ht="17.399999999999999">
      <c r="A110" s="109" t="str">
        <f>VLOOKUP("Anwendungstechnik",Sprachindex!A:Z,Info!$O$6,FALSE)</f>
        <v>Anwendungstechnik</v>
      </c>
      <c r="B110" s="110"/>
      <c r="C110" s="110"/>
      <c r="D110" s="264"/>
      <c r="E110" s="264"/>
      <c r="F110" s="264"/>
      <c r="G110" s="264"/>
      <c r="H110" s="264"/>
      <c r="I110" s="264"/>
      <c r="J110" s="264"/>
      <c r="K110" s="111" t="str">
        <f>VLOOKUP("Stand:",Sprachindex!A:Z,Info!$O$6,FALSE)</f>
        <v>Stand:</v>
      </c>
      <c r="L110" s="277">
        <v>44546</v>
      </c>
      <c r="M110" s="278"/>
      <c r="N110" s="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</row>
    <row r="111" spans="1:439" s="9" customFormat="1" ht="13.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</row>
    <row r="112" spans="1:439" s="9" customFormat="1" ht="13.8" hidden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</row>
    <row r="113" spans="1:439" s="9" customFormat="1" ht="13.8" hidden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</row>
    <row r="114" spans="1:439" s="9" customFormat="1" ht="13.8" hidden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</row>
    <row r="115" spans="1:439" s="9" customFormat="1" ht="13.8" hidden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</row>
    <row r="116" spans="1:439" s="9" customFormat="1" ht="13.8" hidden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</row>
    <row r="117" spans="1:439" s="9" customFormat="1" ht="13.8" hidden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</row>
    <row r="118" spans="1:439" s="9" customFormat="1" ht="13.8" hidden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</row>
    <row r="119" spans="1:439" s="9" customFormat="1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5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</row>
    <row r="120" spans="1:439" ht="14.25" hidden="1" customHeight="1"/>
    <row r="121" spans="1:439" ht="14.25" hidden="1" customHeight="1"/>
    <row r="122" spans="1:439" ht="14.25" hidden="1" customHeight="1"/>
    <row r="123" spans="1:439" ht="14.25" hidden="1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2:Q32" name="darf vom Benutzer nicht verändert werden_1_2_1"/>
    <protectedRange password="DEBF" sqref="P33:Q33" name="darf vom Benutzer nicht verändert werden_1_2_2"/>
    <protectedRange password="DEBF" sqref="P34" name="darf vom Benutzer nicht verändert werden_1_5_2_7"/>
    <protectedRange password="DEBF" sqref="Q34" name="darf vom Benutzer nicht verändert werden_1_3"/>
    <protectedRange password="DEBF" sqref="Q35" name="darf vom Benutzer nicht verändert werden_1_1_5"/>
    <protectedRange password="DEBF" sqref="P35" name="darf vom Benutzer nicht verändert werden_1_4_5"/>
    <protectedRange password="DEBF" sqref="Q36" name="darf vom Benutzer nicht verändert werden_1_2_4"/>
    <protectedRange password="DEBF" sqref="P36" name="darf vom Benutzer nicht verändert werden_1_5_2_5_2"/>
    <protectedRange password="DEBF" sqref="P37:Q37" name="darf vom Benutzer nicht verändert werden_1_5_8"/>
    <protectedRange password="DEBF" sqref="Q38" name="darf vom Benutzer nicht verändert werden_1_2_6"/>
    <protectedRange password="DEBF" sqref="P38" name="darf vom Benutzer nicht verändert werden_1_5_12"/>
    <protectedRange password="DEBF" sqref="P40:Q52" name="darf vom Benutzer nicht verändert werden_1_5_14"/>
    <protectedRange password="DEBF" sqref="P39:Q39" name="darf vom Benutzer nicht verändert werden_1_5_27_1"/>
    <protectedRange password="DEBF" sqref="P31" name="darf vom Benutzer nicht verändert werden_1_5_2_2_2"/>
    <protectedRange password="DEBF" sqref="P53:Q69" name="darf vom Benutzer nicht verändert werden_1_5_6"/>
    <protectedRange password="DEBF" sqref="P70:Q70" name="darf vom Benutzer nicht verändert werden_1_5_11"/>
    <protectedRange password="DEBF" sqref="P71:Q71" name="darf vom Benutzer nicht verändert werden_1_5_17"/>
    <protectedRange password="DEBF" sqref="P72:Q76" name="darf vom Benutzer nicht verändert werden_1_5_13"/>
    <protectedRange password="DEBF" sqref="P77:Q93" name="darf vom Benutzer nicht verändert werden_1_5_15"/>
    <protectedRange password="DEBF" sqref="P95:Q98" name="darf vom Benutzer nicht verändert werden_1_5_16"/>
    <protectedRange password="DEBF" sqref="P94:Q94" name="darf vom Benutzer nicht verändert werden_1_5"/>
  </protectedRanges>
  <autoFilter ref="A29:A101" xr:uid="{00000000-0009-0000-0000-000003000000}"/>
  <mergeCells count="110">
    <mergeCell ref="P29:Q29"/>
    <mergeCell ref="D110:J110"/>
    <mergeCell ref="L110:M110"/>
    <mergeCell ref="E99:K99"/>
    <mergeCell ref="E100:K100"/>
    <mergeCell ref="E101:K101"/>
    <mergeCell ref="D102:M103"/>
    <mergeCell ref="D104:M105"/>
    <mergeCell ref="D106:M107"/>
    <mergeCell ref="E98:G98"/>
    <mergeCell ref="E97:H97"/>
    <mergeCell ref="I97:K97"/>
    <mergeCell ref="E92:K92"/>
    <mergeCell ref="E86:K86"/>
    <mergeCell ref="E78:K78"/>
    <mergeCell ref="E79:K79"/>
    <mergeCell ref="E80:K80"/>
    <mergeCell ref="E81:K81"/>
    <mergeCell ref="E82:K82"/>
    <mergeCell ref="E83:K83"/>
    <mergeCell ref="E84:K84"/>
    <mergeCell ref="E96:K96"/>
    <mergeCell ref="E77:K77"/>
    <mergeCell ref="E65:K65"/>
    <mergeCell ref="E66:K66"/>
    <mergeCell ref="E67:K67"/>
    <mergeCell ref="E68:K68"/>
    <mergeCell ref="E69:K69"/>
    <mergeCell ref="E72:K72"/>
    <mergeCell ref="E73:K73"/>
    <mergeCell ref="E74:K74"/>
    <mergeCell ref="E75:K75"/>
    <mergeCell ref="E76:K76"/>
    <mergeCell ref="E71:K71"/>
    <mergeCell ref="E70:K70"/>
    <mergeCell ref="E85:K85"/>
    <mergeCell ref="E87:K87"/>
    <mergeCell ref="E88:K88"/>
    <mergeCell ref="E89:K89"/>
    <mergeCell ref="E90:K90"/>
    <mergeCell ref="E91:K91"/>
    <mergeCell ref="E93:K93"/>
    <mergeCell ref="E94:K94"/>
    <mergeCell ref="E95:K95"/>
    <mergeCell ref="E64:K64"/>
    <mergeCell ref="E55:H55"/>
    <mergeCell ref="J55:K55"/>
    <mergeCell ref="E56:H56"/>
    <mergeCell ref="J56:K56"/>
    <mergeCell ref="E57:K57"/>
    <mergeCell ref="E58:K58"/>
    <mergeCell ref="E59:K59"/>
    <mergeCell ref="E60:K60"/>
    <mergeCell ref="E61:K61"/>
    <mergeCell ref="E62:K62"/>
    <mergeCell ref="E63:K63"/>
    <mergeCell ref="E49:G49"/>
    <mergeCell ref="H49:K49"/>
    <mergeCell ref="E50:K50"/>
    <mergeCell ref="E53:K53"/>
    <mergeCell ref="E54:H54"/>
    <mergeCell ref="J54:K54"/>
    <mergeCell ref="E48:G48"/>
    <mergeCell ref="H48:K48"/>
    <mergeCell ref="E38:G38"/>
    <mergeCell ref="H38:K38"/>
    <mergeCell ref="E39:K39"/>
    <mergeCell ref="E40:K40"/>
    <mergeCell ref="E41:K41"/>
    <mergeCell ref="E42:K42"/>
    <mergeCell ref="E43:K43"/>
    <mergeCell ref="E44:K44"/>
    <mergeCell ref="E45:K45"/>
    <mergeCell ref="E46:K46"/>
    <mergeCell ref="E47:K47"/>
    <mergeCell ref="E51:K51"/>
    <mergeCell ref="E52:K52"/>
    <mergeCell ref="E37:K37"/>
    <mergeCell ref="C21:E21"/>
    <mergeCell ref="B29:E29"/>
    <mergeCell ref="E30:K30"/>
    <mergeCell ref="E31:K31"/>
    <mergeCell ref="E32:K32"/>
    <mergeCell ref="E33:K33"/>
    <mergeCell ref="E34:K34"/>
    <mergeCell ref="E35:G35"/>
    <mergeCell ref="H35:K35"/>
    <mergeCell ref="E36:G36"/>
    <mergeCell ref="H36:K36"/>
    <mergeCell ref="C24:E24"/>
    <mergeCell ref="I24:K24"/>
    <mergeCell ref="C25:E25"/>
    <mergeCell ref="I25:K25"/>
    <mergeCell ref="C26:E26"/>
    <mergeCell ref="B24:B27"/>
    <mergeCell ref="I26:K26"/>
    <mergeCell ref="C27:E27"/>
    <mergeCell ref="C20:E20"/>
    <mergeCell ref="K4:M4"/>
    <mergeCell ref="K5:M5"/>
    <mergeCell ref="K6:M6"/>
    <mergeCell ref="C9:E9"/>
    <mergeCell ref="C10:E10"/>
    <mergeCell ref="C11:E11"/>
    <mergeCell ref="C13:E13"/>
    <mergeCell ref="C14:E14"/>
    <mergeCell ref="C15:E15"/>
    <mergeCell ref="C18:E18"/>
    <mergeCell ref="C19:E19"/>
    <mergeCell ref="K7:M7"/>
  </mergeCells>
  <conditionalFormatting sqref="J21:K22">
    <cfRule type="expression" dxfId="2287" priority="553">
      <formula>$N$21=10</formula>
    </cfRule>
  </conditionalFormatting>
  <conditionalFormatting sqref="I21:I22 I28">
    <cfRule type="expression" dxfId="2286" priority="554">
      <formula>$N$21=10</formula>
    </cfRule>
  </conditionalFormatting>
  <conditionalFormatting sqref="C9:E9 A31:A101">
    <cfRule type="cellIs" dxfId="2285" priority="552" operator="equal">
      <formula>""</formula>
    </cfRule>
  </conditionalFormatting>
  <conditionalFormatting sqref="C10:E10">
    <cfRule type="cellIs" dxfId="2284" priority="551" operator="equal">
      <formula>""</formula>
    </cfRule>
  </conditionalFormatting>
  <conditionalFormatting sqref="C11:E11">
    <cfRule type="cellIs" dxfId="2283" priority="550" operator="equal">
      <formula>""</formula>
    </cfRule>
  </conditionalFormatting>
  <conditionalFormatting sqref="C13:E13">
    <cfRule type="cellIs" dxfId="2282" priority="549" operator="equal">
      <formula>""</formula>
    </cfRule>
  </conditionalFormatting>
  <conditionalFormatting sqref="C14:E14">
    <cfRule type="cellIs" dxfId="2281" priority="548" operator="equal">
      <formula>""</formula>
    </cfRule>
  </conditionalFormatting>
  <conditionalFormatting sqref="C15:E15">
    <cfRule type="cellIs" dxfId="2280" priority="547" operator="equal">
      <formula>""</formula>
    </cfRule>
  </conditionalFormatting>
  <conditionalFormatting sqref="C18:E18">
    <cfRule type="cellIs" dxfId="2279" priority="546" operator="equal">
      <formula>""</formula>
    </cfRule>
  </conditionalFormatting>
  <conditionalFormatting sqref="C19:E19">
    <cfRule type="cellIs" dxfId="2278" priority="545" operator="equal">
      <formula>""</formula>
    </cfRule>
  </conditionalFormatting>
  <conditionalFormatting sqref="C20:E20">
    <cfRule type="cellIs" dxfId="2277" priority="544" operator="equal">
      <formula>""</formula>
    </cfRule>
  </conditionalFormatting>
  <conditionalFormatting sqref="C21:E21">
    <cfRule type="cellIs" dxfId="2276" priority="543" operator="equal">
      <formula>""</formula>
    </cfRule>
  </conditionalFormatting>
  <conditionalFormatting sqref="B100">
    <cfRule type="cellIs" dxfId="2275" priority="478" operator="equal">
      <formula>""</formula>
    </cfRule>
  </conditionalFormatting>
  <conditionalFormatting sqref="B99">
    <cfRule type="cellIs" dxfId="2274" priority="477" operator="equal">
      <formula>""</formula>
    </cfRule>
  </conditionalFormatting>
  <conditionalFormatting sqref="B101">
    <cfRule type="cellIs" dxfId="2273" priority="476" operator="equal">
      <formula>""</formula>
    </cfRule>
  </conditionalFormatting>
  <conditionalFormatting sqref="C101">
    <cfRule type="cellIs" dxfId="2272" priority="475" operator="equal">
      <formula>""</formula>
    </cfRule>
  </conditionalFormatting>
  <conditionalFormatting sqref="C100">
    <cfRule type="cellIs" dxfId="2271" priority="474" operator="equal">
      <formula>""</formula>
    </cfRule>
  </conditionalFormatting>
  <conditionalFormatting sqref="C99">
    <cfRule type="cellIs" dxfId="2270" priority="473" operator="equal">
      <formula>""</formula>
    </cfRule>
  </conditionalFormatting>
  <conditionalFormatting sqref="E99">
    <cfRule type="cellIs" dxfId="2269" priority="472" operator="equal">
      <formula>""</formula>
    </cfRule>
  </conditionalFormatting>
  <conditionalFormatting sqref="E100">
    <cfRule type="cellIs" dxfId="2268" priority="471" operator="equal">
      <formula>""</formula>
    </cfRule>
  </conditionalFormatting>
  <conditionalFormatting sqref="E101">
    <cfRule type="cellIs" dxfId="2267" priority="470" operator="equal">
      <formula>""</formula>
    </cfRule>
  </conditionalFormatting>
  <conditionalFormatting sqref="L101">
    <cfRule type="cellIs" dxfId="2266" priority="469" operator="equal">
      <formula>""</formula>
    </cfRule>
  </conditionalFormatting>
  <conditionalFormatting sqref="L100">
    <cfRule type="cellIs" dxfId="2265" priority="468" operator="equal">
      <formula>""</formula>
    </cfRule>
  </conditionalFormatting>
  <conditionalFormatting sqref="L99">
    <cfRule type="cellIs" dxfId="2264" priority="467" operator="equal">
      <formula>""</formula>
    </cfRule>
  </conditionalFormatting>
  <conditionalFormatting sqref="M99">
    <cfRule type="cellIs" dxfId="2263" priority="466" operator="equal">
      <formula>""</formula>
    </cfRule>
  </conditionalFormatting>
  <conditionalFormatting sqref="M100">
    <cfRule type="cellIs" dxfId="2262" priority="465" operator="equal">
      <formula>""</formula>
    </cfRule>
  </conditionalFormatting>
  <conditionalFormatting sqref="M101">
    <cfRule type="cellIs" dxfId="2261" priority="464" operator="equal">
      <formula>""</formula>
    </cfRule>
  </conditionalFormatting>
  <conditionalFormatting sqref="D101">
    <cfRule type="cellIs" dxfId="2260" priority="454" operator="equal">
      <formula>""</formula>
    </cfRule>
  </conditionalFormatting>
  <conditionalFormatting sqref="D100">
    <cfRule type="cellIs" dxfId="2259" priority="453" operator="equal">
      <formula>""</formula>
    </cfRule>
  </conditionalFormatting>
  <conditionalFormatting sqref="D99">
    <cfRule type="cellIs" dxfId="2258" priority="452" operator="equal">
      <formula>""</formula>
    </cfRule>
  </conditionalFormatting>
  <conditionalFormatting sqref="T31:AB31">
    <cfRule type="duplicateValues" dxfId="2257" priority="555"/>
  </conditionalFormatting>
  <conditionalFormatting sqref="AD31:AM31">
    <cfRule type="duplicateValues" dxfId="2256" priority="451"/>
  </conditionalFormatting>
  <conditionalFormatting sqref="T32:AB32">
    <cfRule type="duplicateValues" dxfId="2255" priority="450"/>
  </conditionalFormatting>
  <conditionalFormatting sqref="AD32:AL32">
    <cfRule type="duplicateValues" dxfId="2254" priority="449"/>
  </conditionalFormatting>
  <conditionalFormatting sqref="T70:AC70 T69:AB69">
    <cfRule type="duplicateValues" dxfId="2253" priority="415"/>
  </conditionalFormatting>
  <conditionalFormatting sqref="D68">
    <cfRule type="duplicateValues" dxfId="2252" priority="414"/>
  </conditionalFormatting>
  <conditionalFormatting sqref="T77:AB77">
    <cfRule type="duplicateValues" dxfId="2251" priority="406"/>
  </conditionalFormatting>
  <conditionalFormatting sqref="AD77:AL77">
    <cfRule type="duplicateValues" dxfId="2250" priority="405"/>
  </conditionalFormatting>
  <conditionalFormatting sqref="D76">
    <cfRule type="duplicateValues" dxfId="2249" priority="404"/>
  </conditionalFormatting>
  <conditionalFormatting sqref="T78:AC78">
    <cfRule type="duplicateValues" dxfId="2248" priority="403"/>
  </conditionalFormatting>
  <conditionalFormatting sqref="T92:AB92">
    <cfRule type="duplicateValues" dxfId="2247" priority="379"/>
  </conditionalFormatting>
  <conditionalFormatting sqref="AC92">
    <cfRule type="duplicateValues" dxfId="2246" priority="378"/>
  </conditionalFormatting>
  <conditionalFormatting sqref="T97:X97">
    <cfRule type="duplicateValues" dxfId="2245" priority="377"/>
  </conditionalFormatting>
  <conditionalFormatting sqref="I13">
    <cfRule type="expression" dxfId="2244" priority="369">
      <formula>$N$13=2</formula>
    </cfRule>
    <cfRule type="expression" dxfId="2243" priority="370">
      <formula>$N$13=1</formula>
    </cfRule>
  </conditionalFormatting>
  <conditionalFormatting sqref="L13">
    <cfRule type="expression" dxfId="2242" priority="367">
      <formula>$N$13=1</formula>
    </cfRule>
    <cfRule type="expression" dxfId="2241" priority="368">
      <formula>$N$13=2</formula>
    </cfRule>
  </conditionalFormatting>
  <conditionalFormatting sqref="D66">
    <cfRule type="duplicateValues" dxfId="2240" priority="246"/>
  </conditionalFormatting>
  <conditionalFormatting sqref="D67">
    <cfRule type="duplicateValues" dxfId="2239" priority="247"/>
  </conditionalFormatting>
  <conditionalFormatting sqref="C24:E24">
    <cfRule type="cellIs" dxfId="2238" priority="234" operator="equal">
      <formula>""</formula>
    </cfRule>
  </conditionalFormatting>
  <conditionalFormatting sqref="C25:E25">
    <cfRule type="cellIs" dxfId="2237" priority="233" operator="equal">
      <formula>""</formula>
    </cfRule>
  </conditionalFormatting>
  <conditionalFormatting sqref="C26:E26">
    <cfRule type="cellIs" dxfId="2236" priority="232" operator="equal">
      <formula>""</formula>
    </cfRule>
  </conditionalFormatting>
  <conditionalFormatting sqref="C27:E27">
    <cfRule type="cellIs" dxfId="2235" priority="231" operator="equal">
      <formula>""</formula>
    </cfRule>
  </conditionalFormatting>
  <conditionalFormatting sqref="I26:K26 I24:I25">
    <cfRule type="cellIs" dxfId="2234" priority="230" operator="equal">
      <formula>""</formula>
    </cfRule>
  </conditionalFormatting>
  <conditionalFormatting sqref="K4">
    <cfRule type="cellIs" dxfId="2233" priority="225" operator="equal">
      <formula>""</formula>
    </cfRule>
  </conditionalFormatting>
  <conditionalFormatting sqref="K5">
    <cfRule type="cellIs" dxfId="2232" priority="224" operator="equal">
      <formula>""</formula>
    </cfRule>
  </conditionalFormatting>
  <conditionalFormatting sqref="K6">
    <cfRule type="cellIs" dxfId="2231" priority="223" operator="equal">
      <formula>""</formula>
    </cfRule>
  </conditionalFormatting>
  <conditionalFormatting sqref="K7">
    <cfRule type="cellIs" dxfId="2230" priority="222" operator="equal">
      <formula>""</formula>
    </cfRule>
  </conditionalFormatting>
  <conditionalFormatting sqref="AM32">
    <cfRule type="duplicateValues" dxfId="2229" priority="220"/>
  </conditionalFormatting>
  <conditionalFormatting sqref="Y37:AC37 T37:W37">
    <cfRule type="duplicateValues" dxfId="2228" priority="219"/>
  </conditionalFormatting>
  <conditionalFormatting sqref="T40:AB40 AD40:AL40">
    <cfRule type="duplicateValues" dxfId="2227" priority="213"/>
  </conditionalFormatting>
  <conditionalFormatting sqref="AC40">
    <cfRule type="duplicateValues" dxfId="2226" priority="212"/>
  </conditionalFormatting>
  <conditionalFormatting sqref="AD41:AL41 T41:AB41">
    <cfRule type="duplicateValues" dxfId="2225" priority="214"/>
  </conditionalFormatting>
  <conditionalFormatting sqref="T42:AL42">
    <cfRule type="duplicateValues" dxfId="2224" priority="215"/>
  </conditionalFormatting>
  <conditionalFormatting sqref="T43:AM43">
    <cfRule type="duplicateValues" dxfId="2223" priority="216"/>
  </conditionalFormatting>
  <conditionalFormatting sqref="AD45:AM45">
    <cfRule type="duplicateValues" dxfId="2222" priority="211"/>
  </conditionalFormatting>
  <conditionalFormatting sqref="T45:AC45">
    <cfRule type="duplicateValues" dxfId="2221" priority="217"/>
  </conditionalFormatting>
  <conditionalFormatting sqref="AD46:AL46">
    <cfRule type="duplicateValues" dxfId="2220" priority="210"/>
  </conditionalFormatting>
  <conditionalFormatting sqref="AC46">
    <cfRule type="duplicateValues" dxfId="2219" priority="209"/>
  </conditionalFormatting>
  <conditionalFormatting sqref="AM46">
    <cfRule type="duplicateValues" dxfId="2218" priority="208"/>
  </conditionalFormatting>
  <conditionalFormatting sqref="T46:AB46">
    <cfRule type="duplicateValues" dxfId="2217" priority="218"/>
  </conditionalFormatting>
  <conditionalFormatting sqref="T48">
    <cfRule type="duplicateValues" dxfId="2216" priority="207"/>
  </conditionalFormatting>
  <conditionalFormatting sqref="Y48">
    <cfRule type="duplicateValues" dxfId="2215" priority="206"/>
  </conditionalFormatting>
  <conditionalFormatting sqref="V48">
    <cfRule type="duplicateValues" dxfId="2214" priority="205"/>
  </conditionalFormatting>
  <conditionalFormatting sqref="U48">
    <cfRule type="duplicateValues" dxfId="2213" priority="204"/>
  </conditionalFormatting>
  <conditionalFormatting sqref="AA48">
    <cfRule type="duplicateValues" dxfId="2212" priority="203"/>
  </conditionalFormatting>
  <conditionalFormatting sqref="Z48">
    <cfRule type="duplicateValues" dxfId="2211" priority="202"/>
  </conditionalFormatting>
  <conditionalFormatting sqref="W48">
    <cfRule type="duplicateValues" dxfId="2210" priority="201"/>
  </conditionalFormatting>
  <conditionalFormatting sqref="T49">
    <cfRule type="duplicateValues" dxfId="2209" priority="200"/>
  </conditionalFormatting>
  <conditionalFormatting sqref="W49">
    <cfRule type="duplicateValues" dxfId="2208" priority="199"/>
  </conditionalFormatting>
  <conditionalFormatting sqref="V49">
    <cfRule type="duplicateValues" dxfId="2207" priority="198"/>
  </conditionalFormatting>
  <conditionalFormatting sqref="U49">
    <cfRule type="duplicateValues" dxfId="2206" priority="197"/>
  </conditionalFormatting>
  <conditionalFormatting sqref="Y49">
    <cfRule type="duplicateValues" dxfId="2205" priority="196"/>
  </conditionalFormatting>
  <conditionalFormatting sqref="AA49">
    <cfRule type="duplicateValues" dxfId="2204" priority="195"/>
  </conditionalFormatting>
  <conditionalFormatting sqref="Z49">
    <cfRule type="duplicateValues" dxfId="2203" priority="194"/>
  </conditionalFormatting>
  <conditionalFormatting sqref="T50:T52">
    <cfRule type="duplicateValues" dxfId="2202" priority="193"/>
  </conditionalFormatting>
  <conditionalFormatting sqref="U50:U52">
    <cfRule type="duplicateValues" dxfId="2201" priority="192"/>
  </conditionalFormatting>
  <conditionalFormatting sqref="V50:V52">
    <cfRule type="duplicateValues" dxfId="2200" priority="191"/>
  </conditionalFormatting>
  <conditionalFormatting sqref="W50:W52">
    <cfRule type="duplicateValues" dxfId="2199" priority="190"/>
  </conditionalFormatting>
  <conditionalFormatting sqref="X50:X52">
    <cfRule type="duplicateValues" dxfId="2198" priority="189"/>
  </conditionalFormatting>
  <conditionalFormatting sqref="Y50:Y52">
    <cfRule type="duplicateValues" dxfId="2197" priority="188"/>
  </conditionalFormatting>
  <conditionalFormatting sqref="Z50:Z52">
    <cfRule type="duplicateValues" dxfId="2196" priority="187"/>
  </conditionalFormatting>
  <conditionalFormatting sqref="AA50:AA52">
    <cfRule type="duplicateValues" dxfId="2195" priority="186"/>
  </conditionalFormatting>
  <conditionalFormatting sqref="AB50:AB52">
    <cfRule type="duplicateValues" dxfId="2194" priority="185"/>
  </conditionalFormatting>
  <conditionalFormatting sqref="T44:AC44">
    <cfRule type="duplicateValues" dxfId="2193" priority="184"/>
  </conditionalFormatting>
  <conditionalFormatting sqref="AM44">
    <cfRule type="duplicateValues" dxfId="2192" priority="183"/>
  </conditionalFormatting>
  <conditionalFormatting sqref="AD44:AL44">
    <cfRule type="duplicateValues" dxfId="2191" priority="182"/>
  </conditionalFormatting>
  <conditionalFormatting sqref="T47">
    <cfRule type="duplicateValues" dxfId="2190" priority="181"/>
  </conditionalFormatting>
  <conditionalFormatting sqref="Y47">
    <cfRule type="duplicateValues" dxfId="2189" priority="180"/>
  </conditionalFormatting>
  <conditionalFormatting sqref="V47">
    <cfRule type="duplicateValues" dxfId="2188" priority="179"/>
  </conditionalFormatting>
  <conditionalFormatting sqref="U47">
    <cfRule type="duplicateValues" dxfId="2187" priority="178"/>
  </conditionalFormatting>
  <conditionalFormatting sqref="AA47">
    <cfRule type="duplicateValues" dxfId="2186" priority="177"/>
  </conditionalFormatting>
  <conditionalFormatting sqref="Z47">
    <cfRule type="duplicateValues" dxfId="2185" priority="176"/>
  </conditionalFormatting>
  <conditionalFormatting sqref="W47">
    <cfRule type="duplicateValues" dxfId="2184" priority="175"/>
  </conditionalFormatting>
  <conditionalFormatting sqref="X47">
    <cfRule type="duplicateValues" dxfId="2183" priority="174"/>
  </conditionalFormatting>
  <conditionalFormatting sqref="AB47">
    <cfRule type="duplicateValues" dxfId="2182" priority="173"/>
  </conditionalFormatting>
  <conditionalFormatting sqref="AB48">
    <cfRule type="duplicateValues" dxfId="2181" priority="172"/>
  </conditionalFormatting>
  <conditionalFormatting sqref="AB49">
    <cfRule type="duplicateValues" dxfId="2180" priority="171"/>
  </conditionalFormatting>
  <conditionalFormatting sqref="AC50:AC52">
    <cfRule type="duplicateValues" dxfId="2179" priority="170"/>
  </conditionalFormatting>
  <conditionalFormatting sqref="AC48">
    <cfRule type="duplicateValues" dxfId="2178" priority="169"/>
  </conditionalFormatting>
  <conditionalFormatting sqref="AC49">
    <cfRule type="duplicateValues" dxfId="2177" priority="168"/>
  </conditionalFormatting>
  <conditionalFormatting sqref="AC47">
    <cfRule type="duplicateValues" dxfId="2176" priority="167"/>
  </conditionalFormatting>
  <conditionalFormatting sqref="AD54:AM54">
    <cfRule type="duplicateValues" dxfId="2175" priority="163"/>
  </conditionalFormatting>
  <conditionalFormatting sqref="T54:AB54">
    <cfRule type="duplicateValues" dxfId="2174" priority="164"/>
  </conditionalFormatting>
  <conditionalFormatting sqref="AY54:BG54">
    <cfRule type="duplicateValues" dxfId="2173" priority="161"/>
  </conditionalFormatting>
  <conditionalFormatting sqref="AO54:AW54">
    <cfRule type="duplicateValues" dxfId="2172" priority="162"/>
  </conditionalFormatting>
  <conditionalFormatting sqref="BT54:CC54">
    <cfRule type="duplicateValues" dxfId="2171" priority="159"/>
  </conditionalFormatting>
  <conditionalFormatting sqref="BK54:BR54">
    <cfRule type="duplicateValues" dxfId="2170" priority="160"/>
  </conditionalFormatting>
  <conditionalFormatting sqref="CF54:CM54">
    <cfRule type="duplicateValues" dxfId="2169" priority="165"/>
  </conditionalFormatting>
  <conditionalFormatting sqref="CO54:CW54">
    <cfRule type="duplicateValues" dxfId="2168" priority="166"/>
  </conditionalFormatting>
  <conditionalFormatting sqref="DA54:DH54">
    <cfRule type="duplicateValues" dxfId="2167" priority="157"/>
  </conditionalFormatting>
  <conditionalFormatting sqref="DJ54:DR54">
    <cfRule type="duplicateValues" dxfId="2166" priority="158"/>
  </conditionalFormatting>
  <conditionalFormatting sqref="DV54:EC54">
    <cfRule type="duplicateValues" dxfId="2165" priority="156"/>
  </conditionalFormatting>
  <conditionalFormatting sqref="EQ54:EX54">
    <cfRule type="duplicateValues" dxfId="2164" priority="155"/>
  </conditionalFormatting>
  <conditionalFormatting sqref="EZ54:FH54">
    <cfRule type="duplicateValues" dxfId="2163" priority="154"/>
  </conditionalFormatting>
  <conditionalFormatting sqref="FL54:FS54">
    <cfRule type="duplicateValues" dxfId="2162" priority="153"/>
  </conditionalFormatting>
  <conditionalFormatting sqref="FU54:GC54">
    <cfRule type="duplicateValues" dxfId="2161" priority="152"/>
  </conditionalFormatting>
  <conditionalFormatting sqref="GG54:GN54">
    <cfRule type="duplicateValues" dxfId="2160" priority="151"/>
  </conditionalFormatting>
  <conditionalFormatting sqref="GP54:GX54">
    <cfRule type="duplicateValues" dxfId="2159" priority="150"/>
  </conditionalFormatting>
  <conditionalFormatting sqref="HB54:HI54">
    <cfRule type="duplicateValues" dxfId="2158" priority="149"/>
  </conditionalFormatting>
  <conditionalFormatting sqref="HK54:HS54">
    <cfRule type="duplicateValues" dxfId="2157" priority="148"/>
  </conditionalFormatting>
  <conditionalFormatting sqref="HW54:ID54">
    <cfRule type="duplicateValues" dxfId="2156" priority="147"/>
  </conditionalFormatting>
  <conditionalFormatting sqref="IF54:IN54">
    <cfRule type="duplicateValues" dxfId="2155" priority="146"/>
  </conditionalFormatting>
  <conditionalFormatting sqref="IR54:IY54">
    <cfRule type="duplicateValues" dxfId="2154" priority="145"/>
  </conditionalFormatting>
  <conditionalFormatting sqref="JA54:JI54">
    <cfRule type="duplicateValues" dxfId="2153" priority="144"/>
  </conditionalFormatting>
  <conditionalFormatting sqref="JM54:JT54">
    <cfRule type="duplicateValues" dxfId="2152" priority="143"/>
  </conditionalFormatting>
  <conditionalFormatting sqref="JV54:KD54">
    <cfRule type="duplicateValues" dxfId="2151" priority="142"/>
  </conditionalFormatting>
  <conditionalFormatting sqref="KH54:KO54">
    <cfRule type="duplicateValues" dxfId="2150" priority="141"/>
  </conditionalFormatting>
  <conditionalFormatting sqref="KQ54:KY54">
    <cfRule type="duplicateValues" dxfId="2149" priority="140"/>
  </conditionalFormatting>
  <conditionalFormatting sqref="LL54:LT54">
    <cfRule type="duplicateValues" dxfId="2148" priority="139"/>
  </conditionalFormatting>
  <conditionalFormatting sqref="LC54:LJ54">
    <cfRule type="duplicateValues" dxfId="2147" priority="138"/>
  </conditionalFormatting>
  <conditionalFormatting sqref="LX54:ME54">
    <cfRule type="duplicateValues" dxfId="2146" priority="137"/>
  </conditionalFormatting>
  <conditionalFormatting sqref="MG54:MO54">
    <cfRule type="duplicateValues" dxfId="2145" priority="136"/>
  </conditionalFormatting>
  <conditionalFormatting sqref="MS54:MZ54">
    <cfRule type="duplicateValues" dxfId="2144" priority="135"/>
  </conditionalFormatting>
  <conditionalFormatting sqref="NB54:NJ54">
    <cfRule type="duplicateValues" dxfId="2143" priority="134"/>
  </conditionalFormatting>
  <conditionalFormatting sqref="NN54:NU54">
    <cfRule type="duplicateValues" dxfId="2142" priority="133"/>
  </conditionalFormatting>
  <conditionalFormatting sqref="NW54:OE54">
    <cfRule type="duplicateValues" dxfId="2141" priority="132"/>
  </conditionalFormatting>
  <conditionalFormatting sqref="OI54:OP54">
    <cfRule type="duplicateValues" dxfId="2140" priority="131"/>
  </conditionalFormatting>
  <conditionalFormatting sqref="OR54:OZ54">
    <cfRule type="duplicateValues" dxfId="2139" priority="130"/>
  </conditionalFormatting>
  <conditionalFormatting sqref="PD54:PK54">
    <cfRule type="duplicateValues" dxfId="2138" priority="129"/>
  </conditionalFormatting>
  <conditionalFormatting sqref="PM54:PU54">
    <cfRule type="duplicateValues" dxfId="2137" priority="128"/>
  </conditionalFormatting>
  <conditionalFormatting sqref="PY54:QF54">
    <cfRule type="duplicateValues" dxfId="2136" priority="127"/>
  </conditionalFormatting>
  <conditionalFormatting sqref="QH54:QQ54">
    <cfRule type="duplicateValues" dxfId="2135" priority="126"/>
  </conditionalFormatting>
  <conditionalFormatting sqref="T55:AB55 AD55:AL55">
    <cfRule type="duplicateValues" dxfId="2134" priority="125"/>
  </conditionalFormatting>
  <conditionalFormatting sqref="BJ54">
    <cfRule type="duplicateValues" dxfId="2133" priority="124"/>
  </conditionalFormatting>
  <conditionalFormatting sqref="CE54">
    <cfRule type="duplicateValues" dxfId="2132" priority="123"/>
  </conditionalFormatting>
  <conditionalFormatting sqref="CZ54">
    <cfRule type="duplicateValues" dxfId="2131" priority="122"/>
  </conditionalFormatting>
  <conditionalFormatting sqref="DU54">
    <cfRule type="duplicateValues" dxfId="2130" priority="121"/>
  </conditionalFormatting>
  <conditionalFormatting sqref="EP54">
    <cfRule type="duplicateValues" dxfId="2129" priority="120"/>
  </conditionalFormatting>
  <conditionalFormatting sqref="FK54">
    <cfRule type="duplicateValues" dxfId="2128" priority="119"/>
  </conditionalFormatting>
  <conditionalFormatting sqref="GF54">
    <cfRule type="duplicateValues" dxfId="2127" priority="118"/>
  </conditionalFormatting>
  <conditionalFormatting sqref="HA54">
    <cfRule type="duplicateValues" dxfId="2126" priority="117"/>
  </conditionalFormatting>
  <conditionalFormatting sqref="HV54">
    <cfRule type="duplicateValues" dxfId="2125" priority="116"/>
  </conditionalFormatting>
  <conditionalFormatting sqref="IQ54">
    <cfRule type="duplicateValues" dxfId="2124" priority="115"/>
  </conditionalFormatting>
  <conditionalFormatting sqref="JL54">
    <cfRule type="duplicateValues" dxfId="2123" priority="114"/>
  </conditionalFormatting>
  <conditionalFormatting sqref="KG54">
    <cfRule type="duplicateValues" dxfId="2122" priority="113"/>
  </conditionalFormatting>
  <conditionalFormatting sqref="LB54">
    <cfRule type="duplicateValues" dxfId="2121" priority="112"/>
  </conditionalFormatting>
  <conditionalFormatting sqref="LW54">
    <cfRule type="duplicateValues" dxfId="2120" priority="111"/>
  </conditionalFormatting>
  <conditionalFormatting sqref="MR54">
    <cfRule type="duplicateValues" dxfId="2119" priority="110"/>
  </conditionalFormatting>
  <conditionalFormatting sqref="NM54">
    <cfRule type="duplicateValues" dxfId="2118" priority="109"/>
  </conditionalFormatting>
  <conditionalFormatting sqref="OH54">
    <cfRule type="duplicateValues" dxfId="2117" priority="108"/>
  </conditionalFormatting>
  <conditionalFormatting sqref="PC54">
    <cfRule type="duplicateValues" dxfId="2116" priority="107"/>
  </conditionalFormatting>
  <conditionalFormatting sqref="PX54">
    <cfRule type="duplicateValues" dxfId="2115" priority="106"/>
  </conditionalFormatting>
  <conditionalFormatting sqref="AO55:AW55 AY55:BG55">
    <cfRule type="duplicateValues" dxfId="2114" priority="105"/>
  </conditionalFormatting>
  <conditionalFormatting sqref="BJ55:BR55 BT55:CB55">
    <cfRule type="duplicateValues" dxfId="2113" priority="104"/>
  </conditionalFormatting>
  <conditionalFormatting sqref="CE55:CM55 DJ55:DR55">
    <cfRule type="duplicateValues" dxfId="2112" priority="103"/>
  </conditionalFormatting>
  <conditionalFormatting sqref="DU55:EC55 EE55:EM55">
    <cfRule type="duplicateValues" dxfId="2111" priority="102"/>
  </conditionalFormatting>
  <conditionalFormatting sqref="EP55:EX55 EZ55:FH55">
    <cfRule type="duplicateValues" dxfId="2110" priority="101"/>
  </conditionalFormatting>
  <conditionalFormatting sqref="FK55:FS55 FU55:GC55">
    <cfRule type="duplicateValues" dxfId="2109" priority="100"/>
  </conditionalFormatting>
  <conditionalFormatting sqref="T57:AC57">
    <cfRule type="duplicateValues" dxfId="2108" priority="99"/>
  </conditionalFormatting>
  <conditionalFormatting sqref="T59:AC59">
    <cfRule type="duplicateValues" dxfId="2107" priority="98"/>
  </conditionalFormatting>
  <conditionalFormatting sqref="T60:AC60 AC61:AC63">
    <cfRule type="duplicateValues" dxfId="2106" priority="97"/>
  </conditionalFormatting>
  <conditionalFormatting sqref="T61:AB61">
    <cfRule type="duplicateValues" dxfId="2105" priority="96"/>
  </conditionalFormatting>
  <conditionalFormatting sqref="AC61">
    <cfRule type="duplicateValues" dxfId="2104" priority="95"/>
  </conditionalFormatting>
  <conditionalFormatting sqref="T62:AB62">
    <cfRule type="duplicateValues" dxfId="2103" priority="94"/>
  </conditionalFormatting>
  <conditionalFormatting sqref="AC62">
    <cfRule type="duplicateValues" dxfId="2102" priority="93"/>
  </conditionalFormatting>
  <conditionalFormatting sqref="T65:AB65">
    <cfRule type="duplicateValues" dxfId="2101" priority="92"/>
  </conditionalFormatting>
  <conditionalFormatting sqref="AC65">
    <cfRule type="duplicateValues" dxfId="2100" priority="91"/>
  </conditionalFormatting>
  <conditionalFormatting sqref="T58:AC58">
    <cfRule type="duplicateValues" dxfId="2099" priority="90"/>
  </conditionalFormatting>
  <conditionalFormatting sqref="T63:AB63">
    <cfRule type="duplicateValues" dxfId="2098" priority="89"/>
  </conditionalFormatting>
  <conditionalFormatting sqref="AC63">
    <cfRule type="duplicateValues" dxfId="2097" priority="88"/>
  </conditionalFormatting>
  <conditionalFormatting sqref="T64:AB64">
    <cfRule type="duplicateValues" dxfId="2096" priority="87"/>
  </conditionalFormatting>
  <conditionalFormatting sqref="AC64">
    <cfRule type="duplicateValues" dxfId="2095" priority="86"/>
  </conditionalFormatting>
  <conditionalFormatting sqref="AC53">
    <cfRule type="duplicateValues" dxfId="2094" priority="84"/>
  </conditionalFormatting>
  <conditionalFormatting sqref="T53:AB53">
    <cfRule type="duplicateValues" dxfId="2093" priority="85"/>
  </conditionalFormatting>
  <conditionalFormatting sqref="EE54:EM54">
    <cfRule type="duplicateValues" dxfId="2092" priority="83"/>
  </conditionalFormatting>
  <conditionalFormatting sqref="CO55:CW55">
    <cfRule type="duplicateValues" dxfId="2091" priority="82"/>
  </conditionalFormatting>
  <conditionalFormatting sqref="T56:AB56 AD56:AM56">
    <cfRule type="duplicateValues" dxfId="2090" priority="81"/>
  </conditionalFormatting>
  <conditionalFormatting sqref="AO56:AW56 AY56:BH56">
    <cfRule type="duplicateValues" dxfId="2089" priority="80"/>
  </conditionalFormatting>
  <conditionalFormatting sqref="BJ56:BR56 BT56:CC56">
    <cfRule type="duplicateValues" dxfId="2088" priority="79"/>
  </conditionalFormatting>
  <conditionalFormatting sqref="CE56:CM56 DJ56:DS56">
    <cfRule type="duplicateValues" dxfId="2087" priority="78"/>
  </conditionalFormatting>
  <conditionalFormatting sqref="DU56:EC56 EE56:EN56">
    <cfRule type="duplicateValues" dxfId="2086" priority="77"/>
  </conditionalFormatting>
  <conditionalFormatting sqref="CO56:CX56">
    <cfRule type="duplicateValues" dxfId="2085" priority="76"/>
  </conditionalFormatting>
  <conditionalFormatting sqref="AM53">
    <cfRule type="duplicateValues" dxfId="2084" priority="74"/>
  </conditionalFormatting>
  <conditionalFormatting sqref="AD53:AL53">
    <cfRule type="duplicateValues" dxfId="2083" priority="75"/>
  </conditionalFormatting>
  <conditionalFormatting sqref="AM55">
    <cfRule type="duplicateValues" dxfId="2082" priority="73"/>
  </conditionalFormatting>
  <conditionalFormatting sqref="BH54">
    <cfRule type="duplicateValues" dxfId="2081" priority="72"/>
  </conditionalFormatting>
  <conditionalFormatting sqref="BH55">
    <cfRule type="duplicateValues" dxfId="2080" priority="71"/>
  </conditionalFormatting>
  <conditionalFormatting sqref="CC55">
    <cfRule type="duplicateValues" dxfId="2079" priority="70"/>
  </conditionalFormatting>
  <conditionalFormatting sqref="CX54">
    <cfRule type="duplicateValues" dxfId="2078" priority="69"/>
  </conditionalFormatting>
  <conditionalFormatting sqref="CX55">
    <cfRule type="duplicateValues" dxfId="2077" priority="68"/>
  </conditionalFormatting>
  <conditionalFormatting sqref="DS54">
    <cfRule type="duplicateValues" dxfId="2076" priority="67"/>
  </conditionalFormatting>
  <conditionalFormatting sqref="DS55">
    <cfRule type="duplicateValues" dxfId="2075" priority="66"/>
  </conditionalFormatting>
  <conditionalFormatting sqref="EN54">
    <cfRule type="duplicateValues" dxfId="2074" priority="65"/>
  </conditionalFormatting>
  <conditionalFormatting sqref="EN55">
    <cfRule type="duplicateValues" dxfId="2073" priority="64"/>
  </conditionalFormatting>
  <conditionalFormatting sqref="FI54">
    <cfRule type="duplicateValues" dxfId="2072" priority="63"/>
  </conditionalFormatting>
  <conditionalFormatting sqref="FI55">
    <cfRule type="duplicateValues" dxfId="2071" priority="62"/>
  </conditionalFormatting>
  <conditionalFormatting sqref="GD54">
    <cfRule type="duplicateValues" dxfId="2070" priority="61"/>
  </conditionalFormatting>
  <conditionalFormatting sqref="GD55">
    <cfRule type="duplicateValues" dxfId="2069" priority="60"/>
  </conditionalFormatting>
  <conditionalFormatting sqref="PV54">
    <cfRule type="duplicateValues" dxfId="2068" priority="59"/>
  </conditionalFormatting>
  <conditionalFormatting sqref="PA54">
    <cfRule type="duplicateValues" dxfId="2067" priority="58"/>
  </conditionalFormatting>
  <conditionalFormatting sqref="OF54">
    <cfRule type="duplicateValues" dxfId="2066" priority="57"/>
  </conditionalFormatting>
  <conditionalFormatting sqref="NK54">
    <cfRule type="duplicateValues" dxfId="2065" priority="56"/>
  </conditionalFormatting>
  <conditionalFormatting sqref="MP54">
    <cfRule type="duplicateValues" dxfId="2064" priority="55"/>
  </conditionalFormatting>
  <conditionalFormatting sqref="LU54">
    <cfRule type="duplicateValues" dxfId="2063" priority="54"/>
  </conditionalFormatting>
  <conditionalFormatting sqref="KZ54">
    <cfRule type="duplicateValues" dxfId="2062" priority="53"/>
  </conditionalFormatting>
  <conditionalFormatting sqref="KE54">
    <cfRule type="duplicateValues" dxfId="2061" priority="52"/>
  </conditionalFormatting>
  <conditionalFormatting sqref="JJ54">
    <cfRule type="duplicateValues" dxfId="2060" priority="51"/>
  </conditionalFormatting>
  <conditionalFormatting sqref="IO54">
    <cfRule type="duplicateValues" dxfId="2059" priority="50"/>
  </conditionalFormatting>
  <conditionalFormatting sqref="HT54">
    <cfRule type="duplicateValues" dxfId="2058" priority="49"/>
  </conditionalFormatting>
  <conditionalFormatting sqref="GY54">
    <cfRule type="duplicateValues" dxfId="2057" priority="48"/>
  </conditionalFormatting>
  <conditionalFormatting sqref="AC69">
    <cfRule type="duplicateValues" dxfId="2056" priority="47"/>
  </conditionalFormatting>
  <conditionalFormatting sqref="T72:AC72">
    <cfRule type="duplicateValues" dxfId="2055" priority="46"/>
  </conditionalFormatting>
  <conditionalFormatting sqref="T73:AC73">
    <cfRule type="duplicateValues" dxfId="2054" priority="45"/>
  </conditionalFormatting>
  <conditionalFormatting sqref="T74:AB74">
    <cfRule type="duplicateValues" dxfId="2053" priority="44"/>
  </conditionalFormatting>
  <conditionalFormatting sqref="AC74">
    <cfRule type="duplicateValues" dxfId="2052" priority="43"/>
  </conditionalFormatting>
  <conditionalFormatting sqref="AC75">
    <cfRule type="duplicateValues" dxfId="2051" priority="42"/>
  </conditionalFormatting>
  <conditionalFormatting sqref="T75:AB75">
    <cfRule type="duplicateValues" dxfId="2050" priority="41"/>
  </conditionalFormatting>
  <conditionalFormatting sqref="T71:AB71">
    <cfRule type="duplicateValues" dxfId="2049" priority="40"/>
  </conditionalFormatting>
  <conditionalFormatting sqref="AC71">
    <cfRule type="duplicateValues" dxfId="2048" priority="39"/>
  </conditionalFormatting>
  <conditionalFormatting sqref="T79:AB79">
    <cfRule type="duplicateValues" dxfId="2047" priority="33"/>
  </conditionalFormatting>
  <conditionalFormatting sqref="T80:AB80">
    <cfRule type="duplicateValues" dxfId="2046" priority="37"/>
  </conditionalFormatting>
  <conditionalFormatting sqref="T81:AB81">
    <cfRule type="duplicateValues" dxfId="2045" priority="32"/>
  </conditionalFormatting>
  <conditionalFormatting sqref="T82:AB82">
    <cfRule type="duplicateValues" dxfId="2044" priority="31"/>
  </conditionalFormatting>
  <conditionalFormatting sqref="U83:AB83">
    <cfRule type="duplicateValues" dxfId="2043" priority="30"/>
  </conditionalFormatting>
  <conditionalFormatting sqref="T83">
    <cfRule type="duplicateValues" dxfId="2042" priority="29"/>
  </conditionalFormatting>
  <conditionalFormatting sqref="T84:AB84">
    <cfRule type="duplicateValues" dxfId="2041" priority="28"/>
  </conditionalFormatting>
  <conditionalFormatting sqref="T85:AB85">
    <cfRule type="duplicateValues" dxfId="2040" priority="27"/>
  </conditionalFormatting>
  <conditionalFormatting sqref="T86:AB86">
    <cfRule type="duplicateValues" dxfId="2039" priority="26"/>
  </conditionalFormatting>
  <conditionalFormatting sqref="T87:AB87">
    <cfRule type="duplicateValues" dxfId="2038" priority="25"/>
  </conditionalFormatting>
  <conditionalFormatting sqref="T88:AB88">
    <cfRule type="duplicateValues" dxfId="2037" priority="24"/>
  </conditionalFormatting>
  <conditionalFormatting sqref="T90:AB90">
    <cfRule type="duplicateValues" dxfId="2036" priority="23"/>
  </conditionalFormatting>
  <conditionalFormatting sqref="T89:AB89">
    <cfRule type="duplicateValues" dxfId="2035" priority="38"/>
  </conditionalFormatting>
  <conditionalFormatting sqref="T91:AB91">
    <cfRule type="duplicateValues" dxfId="2034" priority="22"/>
  </conditionalFormatting>
  <conditionalFormatting sqref="AC79">
    <cfRule type="duplicateValues" dxfId="2033" priority="18"/>
  </conditionalFormatting>
  <conditionalFormatting sqref="AC81">
    <cfRule type="duplicateValues" dxfId="2032" priority="17"/>
  </conditionalFormatting>
  <conditionalFormatting sqref="AC82">
    <cfRule type="duplicateValues" dxfId="2031" priority="16"/>
  </conditionalFormatting>
  <conditionalFormatting sqref="AC80">
    <cfRule type="duplicateValues" dxfId="2030" priority="15"/>
  </conditionalFormatting>
  <conditionalFormatting sqref="AC83">
    <cfRule type="duplicateValues" dxfId="2029" priority="13"/>
  </conditionalFormatting>
  <conditionalFormatting sqref="AC84">
    <cfRule type="duplicateValues" dxfId="2028" priority="12"/>
  </conditionalFormatting>
  <conditionalFormatting sqref="AC85">
    <cfRule type="duplicateValues" dxfId="2027" priority="11"/>
  </conditionalFormatting>
  <conditionalFormatting sqref="AC86">
    <cfRule type="duplicateValues" dxfId="2026" priority="10"/>
  </conditionalFormatting>
  <conditionalFormatting sqref="AC87">
    <cfRule type="duplicateValues" dxfId="2025" priority="9"/>
  </conditionalFormatting>
  <conditionalFormatting sqref="AC88">
    <cfRule type="duplicateValues" dxfId="2024" priority="8"/>
  </conditionalFormatting>
  <conditionalFormatting sqref="AC90">
    <cfRule type="duplicateValues" dxfId="2023" priority="7"/>
  </conditionalFormatting>
  <conditionalFormatting sqref="AC89">
    <cfRule type="duplicateValues" dxfId="2022" priority="14"/>
  </conditionalFormatting>
  <conditionalFormatting sqref="AC91">
    <cfRule type="duplicateValues" dxfId="2021" priority="6"/>
  </conditionalFormatting>
  <conditionalFormatting sqref="T98:AB98">
    <cfRule type="duplicateValues" dxfId="2020" priority="5"/>
  </conditionalFormatting>
  <conditionalFormatting sqref="AD98:AG98">
    <cfRule type="duplicateValues" dxfId="2019" priority="4"/>
  </conditionalFormatting>
  <conditionalFormatting sqref="AH98:AL98">
    <cfRule type="duplicateValues" dxfId="2018" priority="3"/>
  </conditionalFormatting>
  <conditionalFormatting sqref="AM98">
    <cfRule type="duplicateValues" dxfId="2017" priority="2"/>
  </conditionalFormatting>
  <conditionalFormatting sqref="AC98">
    <cfRule type="duplicateValues" dxfId="2016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6" r:id="rId6" name="Group Box 12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7" name="Option Button 13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373380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8" name="Option Button 14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9" r:id="rId9" name="Option Button 15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0" r:id="rId10" name="Option Button 16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4" r:id="rId11" name="Group Box 3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5" r:id="rId12" name="Option Button 31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6" r:id="rId1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14" name="Group Box 2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15" name="Option Button 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8" r:id="rId16" name="Option Button 4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9" r:id="rId17" name="Option Button 5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18" name="Option Button 6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1" r:id="rId19" name="Option Button 7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2" r:id="rId20" name="Option Button 8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3" r:id="rId21" name="Option Button 9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22" name="Option Button 10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525780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23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1" r:id="rId24" name="Option Button 17">
              <controlPr defaultSize="0" autoFill="0" autoLine="0" autoPict="0" altText="">
                <anchor moveWithCells="1">
                  <from>
                    <xdr:col>12</xdr:col>
                    <xdr:colOff>144780</xdr:colOff>
                    <xdr:row>14</xdr:row>
                    <xdr:rowOff>106680</xdr:rowOff>
                  </from>
                  <to>
                    <xdr:col>12</xdr:col>
                    <xdr:colOff>182880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2" r:id="rId25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63" id="{2D0AFF2F-6075-45FD-B491-752DBD4E408C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462" id="{EC0E4ADA-D5D5-4120-92C4-E7667C68CB9F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461" id="{D49FB6D5-86E8-4B23-9280-F57705AD2228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460" id="{5D698BD0-0BA3-4152-A339-CBF0957E5C67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9" id="{C90D8B6C-F078-4B7B-B33E-5F672042B550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8" id="{3D1B9950-4774-4A0C-AECF-E145EB3E4870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457" id="{A1EEA55A-6393-4832-99B9-4222230E1670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456" id="{BE0DF37E-7A05-4B93-9F32-9124E50CA48D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228" id="{DD30CB03-35BD-4CDF-953C-3436922822D5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6374E583-7FA3-465B-9AD5-FD96D41EFD2C}">
            <xm:f>$J55=Formeln!$A$1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C2DEF42-7E85-4F35-986D-910611DCD65F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300-000000000000}">
          <x14:formula1>
            <xm:f>Formeln!$C$49:$C$108</xm:f>
          </x14:formula1>
          <xm:sqref>J56:K56</xm:sqref>
        </x14:dataValidation>
        <x14:dataValidation type="list" allowBlank="1" showInputMessage="1" showErrorMessage="1" xr:uid="{00000000-0002-0000-0300-000001000000}">
          <x14:formula1>
            <xm:f>Formeln!$A$49:$A$100</xm:f>
          </x14:formula1>
          <xm:sqref>J55:K55</xm:sqref>
        </x14:dataValidation>
        <x14:dataValidation type="list" allowBlank="1" showInputMessage="1" showErrorMessage="1" xr:uid="{00000000-0002-0000-0300-000002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300-000003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300-000004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300-000005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300-000006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300-000007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300-000008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300-000009000000}">
          <x14:formula1>
            <xm:f>Formeln!$A$27:$A$48</xm:f>
          </x14:formula1>
          <xm:sqref>J54:K54</xm:sqref>
        </x14:dataValidation>
        <x14:dataValidation type="list" allowBlank="1" showInputMessage="1" showErrorMessage="1" xr:uid="{00000000-0002-0000-03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pageSetUpPr fitToPage="1"/>
  </sheetPr>
  <dimension ref="A1:QR118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1" hidden="1" customWidth="1"/>
    <col min="16" max="17" width="26" style="9" hidden="1" customWidth="1"/>
    <col min="18" max="18" width="5.6640625" style="1" hidden="1" customWidth="1"/>
    <col min="19" max="19" width="1.33203125" style="1" hidden="1" customWidth="1"/>
    <col min="20" max="16384" width="8.6640625" style="1" hidden="1"/>
  </cols>
  <sheetData>
    <row r="1" spans="1:17" ht="28.2">
      <c r="M1" s="2" t="str">
        <f>VLOOKUP("DACHSYSTEME",Sprachindex!A:Z,Info!$O$6,FALSE)</f>
        <v>DACHSYSTEME</v>
      </c>
      <c r="O1" s="9"/>
      <c r="Q1" s="1"/>
    </row>
    <row r="2" spans="1:17" ht="28.2">
      <c r="D2" s="19"/>
      <c r="M2" s="2" t="str">
        <f>VLOOKUP("DACHPLATTE R.16",Sprachindex!A:Z,Info!$O$6,FALSE)</f>
        <v>DACHPLATTE R.16</v>
      </c>
      <c r="O2" s="9"/>
      <c r="Q2" s="1"/>
    </row>
    <row r="3" spans="1:17" ht="15" customHeight="1">
      <c r="O3" s="9"/>
      <c r="Q3" s="1"/>
    </row>
    <row r="4" spans="1:17" ht="17.25" customHeight="1">
      <c r="F4" s="86"/>
      <c r="G4" s="86"/>
      <c r="I4" s="86"/>
      <c r="J4" s="107" t="str">
        <f>VLOOKUP("RETOURNIERUNG PER FAX:",Sprachindex!A:Z,Info!$O$6,FALSE)</f>
        <v>RETOURNIERUNG PER FAX:</v>
      </c>
      <c r="K4" s="254"/>
      <c r="L4" s="255"/>
      <c r="M4" s="256"/>
      <c r="O4" s="9"/>
      <c r="Q4" s="3"/>
    </row>
    <row r="5" spans="1:17" ht="17.25" customHeight="1">
      <c r="F5" s="86"/>
      <c r="G5" s="86"/>
      <c r="I5" s="86"/>
      <c r="J5" s="107" t="str">
        <f>VLOOKUP("ODER EMAIL:",Sprachindex!A:Z,Info!$O$6,FALSE)</f>
        <v>ODER EMAIL:</v>
      </c>
      <c r="K5" s="254"/>
      <c r="L5" s="255"/>
      <c r="M5" s="256"/>
      <c r="O5" s="9"/>
      <c r="Q5" s="3"/>
    </row>
    <row r="6" spans="1:17" ht="17.25" customHeight="1">
      <c r="F6" s="86"/>
      <c r="G6" s="86"/>
      <c r="I6" s="86"/>
      <c r="J6" s="107" t="str">
        <f>VLOOKUP("Datum:",Sprachindex!A:Z,Info!$O$6,FALSE)</f>
        <v>Datum:</v>
      </c>
      <c r="K6" s="254"/>
      <c r="L6" s="255"/>
      <c r="M6" s="256"/>
      <c r="N6" s="54">
        <v>0</v>
      </c>
      <c r="O6" s="9"/>
      <c r="Q6" s="3"/>
    </row>
    <row r="7" spans="1:17" ht="17.25" customHeight="1">
      <c r="F7" s="86"/>
      <c r="G7" s="86"/>
      <c r="I7" s="86"/>
      <c r="J7" s="107" t="str">
        <f>VLOOKUP("Bestellnummer:",Sprachindex!A:Z,Info!$O$6,FALSE)</f>
        <v>Bestellnummer:</v>
      </c>
      <c r="K7" s="254"/>
      <c r="L7" s="255"/>
      <c r="M7" s="256"/>
      <c r="N7" s="54"/>
      <c r="O7" s="9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F8" s="86"/>
      <c r="G8" s="86"/>
      <c r="H8" s="86"/>
      <c r="I8" s="86"/>
      <c r="J8" s="86"/>
      <c r="K8" s="86"/>
      <c r="L8" s="86"/>
      <c r="M8" s="86"/>
      <c r="O8" s="9"/>
      <c r="P8" s="10"/>
      <c r="Q8" s="1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M9" s="86"/>
      <c r="N9" s="55"/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112"/>
      <c r="J10" s="87">
        <v>1</v>
      </c>
      <c r="K10" s="86"/>
      <c r="L10" s="86"/>
      <c r="M10" s="86"/>
      <c r="O10" s="9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11"/>
      <c r="Q11" s="4"/>
    </row>
    <row r="12" spans="1:17" ht="15" customHeight="1">
      <c r="A12" s="86"/>
      <c r="B12" s="86"/>
      <c r="F12" s="86"/>
      <c r="G12" s="86"/>
      <c r="H12" s="86"/>
      <c r="I12" s="108"/>
      <c r="J12" s="87">
        <v>1</v>
      </c>
      <c r="K12" s="86"/>
      <c r="L12" s="86"/>
      <c r="M12" s="86"/>
      <c r="O12" s="9"/>
      <c r="Q12" s="1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O14" s="9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O15" s="9"/>
      <c r="Q15" s="4"/>
    </row>
    <row r="16" spans="1:17" ht="15" customHeight="1">
      <c r="A16" s="86"/>
      <c r="B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  <c r="M16" s="86"/>
      <c r="O16" s="9"/>
      <c r="Q16" s="1"/>
    </row>
    <row r="17" spans="1:39" ht="15" customHeight="1">
      <c r="A17" s="106" t="str">
        <f>VLOOKUP("Lieferadresse:",Sprachindex!A:Z,Info!$O$6,FALSE)</f>
        <v>Lieferadresse:</v>
      </c>
      <c r="B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M17" s="86"/>
      <c r="O17" s="9"/>
      <c r="P17" s="10"/>
      <c r="Q17" s="1"/>
    </row>
    <row r="18" spans="1:39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M18" s="86"/>
      <c r="O18" s="9"/>
      <c r="Q18" s="4"/>
    </row>
    <row r="19" spans="1:39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M19" s="86"/>
      <c r="O19" s="9"/>
      <c r="Q19" s="4"/>
    </row>
    <row r="20" spans="1:39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M20" s="86"/>
      <c r="O20" s="9"/>
      <c r="Q20" s="4"/>
    </row>
    <row r="21" spans="1:39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M21" s="86"/>
      <c r="N21" s="54"/>
      <c r="O21" s="9"/>
      <c r="Q21" s="4"/>
    </row>
    <row r="22" spans="1:39" ht="15" customHeight="1">
      <c r="A22" s="86"/>
      <c r="B22" s="90"/>
      <c r="C22" s="182"/>
      <c r="D22" s="182"/>
      <c r="E22" s="226"/>
      <c r="F22" s="86"/>
      <c r="G22" s="86"/>
      <c r="H22" s="86"/>
      <c r="I22" s="114"/>
      <c r="J22" s="115"/>
      <c r="K22" s="115"/>
      <c r="L22" s="86"/>
      <c r="M22" s="86"/>
      <c r="N22" s="54"/>
      <c r="O22" s="9"/>
      <c r="Q22" s="4"/>
    </row>
    <row r="23" spans="1:39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54"/>
      <c r="O23" s="9"/>
      <c r="Q23" s="4"/>
    </row>
    <row r="24" spans="1:39" ht="15" customHeight="1"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54"/>
      <c r="O24" s="9"/>
      <c r="Q24" s="4"/>
    </row>
    <row r="25" spans="1:39" ht="15" customHeight="1"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54"/>
      <c r="O25" s="9"/>
      <c r="Q25" s="4"/>
    </row>
    <row r="26" spans="1:39" ht="15" customHeight="1"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91"/>
      <c r="J26" s="280"/>
      <c r="K26" s="281"/>
      <c r="L26" s="86"/>
      <c r="M26" s="86"/>
      <c r="N26" s="54"/>
      <c r="O26" s="9"/>
      <c r="Q26" s="4"/>
    </row>
    <row r="27" spans="1:39" ht="15" customHeight="1">
      <c r="B27" s="283"/>
      <c r="C27" s="254"/>
      <c r="D27" s="255"/>
      <c r="E27" s="256"/>
      <c r="F27" s="86"/>
      <c r="G27" s="5"/>
      <c r="H27" s="5"/>
      <c r="I27" s="5"/>
      <c r="J27" s="5"/>
      <c r="K27" s="5"/>
      <c r="L27" s="86"/>
      <c r="M27" s="86"/>
      <c r="N27" s="54"/>
      <c r="O27" s="9"/>
      <c r="Q27" s="4"/>
    </row>
    <row r="28" spans="1:39" ht="15" customHeight="1">
      <c r="A28" s="86"/>
      <c r="B28" s="90"/>
      <c r="C28" s="182"/>
      <c r="D28" s="182"/>
      <c r="E28" s="182"/>
      <c r="F28" s="86"/>
      <c r="G28" s="86"/>
      <c r="H28" s="86"/>
      <c r="I28" s="114"/>
      <c r="J28" s="115"/>
      <c r="K28" s="115"/>
      <c r="L28" s="86"/>
      <c r="M28" s="86"/>
      <c r="N28" s="54"/>
      <c r="O28" s="9"/>
      <c r="Q28" s="4"/>
    </row>
    <row r="29" spans="1:39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284"/>
      <c r="G29" s="86"/>
      <c r="H29" s="86"/>
      <c r="I29" s="86"/>
      <c r="J29" s="86"/>
      <c r="K29" s="86"/>
      <c r="L29" s="86"/>
      <c r="M29" s="86"/>
      <c r="P29" s="282" t="s">
        <v>24</v>
      </c>
      <c r="Q29" s="282"/>
    </row>
    <row r="30" spans="1:39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16"/>
      <c r="B31" s="142" t="str">
        <f>VLOOKUP("m²",Sprachindex!A:Z,Info!$O$6,FALSE)</f>
        <v>m²</v>
      </c>
      <c r="C31" s="92"/>
      <c r="D31" s="117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88" t="str">
        <f>VLOOKUP("Dachplatte R.16",Sprachindex!A:Z,Info!$O$6,FALSE)</f>
        <v>DACHPLATTE R.16</v>
      </c>
      <c r="F31" s="289"/>
      <c r="G31" s="289"/>
      <c r="H31" s="289"/>
      <c r="I31" s="289"/>
      <c r="J31" s="289"/>
      <c r="K31" s="290"/>
      <c r="L31" s="93" t="str">
        <f t="shared" ref="L31:L92" si="0">IF(A31=0,"",IF($N$11=1,P31,Q31))</f>
        <v/>
      </c>
      <c r="M31" s="94"/>
      <c r="P31" s="191" t="str">
        <f>ROUNDUP($A31/8.23,0)*8.23&amp;" " &amp; Formeln!$A$110 &amp; "                     "  &amp; "(="&amp; ROUNDUP(ROUNDUP($A31/8.23,0)*8.23*3.4,0)&amp; " " &amp; Formeln!$A$111 &amp; ")"</f>
        <v>0 m²                     (=0 STK)</v>
      </c>
      <c r="Q31" s="191" t="str">
        <f>ROUNDUP($A31/1,0)*1 &amp;" " &amp; Formeln!$A$110 &amp; "                          (="&amp; ROUNDUP(ROUNDUP($A31,0)*3.4,0)&amp;" " &amp; Formeln!$A$111 &amp; ")"</f>
        <v>0 m²                          (=0 STK)</v>
      </c>
      <c r="T31" s="46">
        <v>112021</v>
      </c>
      <c r="U31" s="46">
        <v>112022</v>
      </c>
      <c r="V31" s="46">
        <v>112023</v>
      </c>
      <c r="W31" s="46">
        <v>112024</v>
      </c>
      <c r="X31" s="46">
        <v>112025</v>
      </c>
      <c r="Y31" s="46">
        <v>112026</v>
      </c>
      <c r="Z31" s="46">
        <v>112028</v>
      </c>
      <c r="AA31" s="46">
        <v>112027</v>
      </c>
      <c r="AB31" s="46">
        <v>112029</v>
      </c>
      <c r="AC31" s="46"/>
      <c r="AD31" s="46">
        <v>112001</v>
      </c>
      <c r="AE31" s="46">
        <v>112002</v>
      </c>
      <c r="AF31" s="46">
        <v>112003</v>
      </c>
      <c r="AG31" s="46">
        <v>112004</v>
      </c>
      <c r="AH31" s="46">
        <v>112005</v>
      </c>
      <c r="AI31" s="46">
        <v>112006</v>
      </c>
      <c r="AJ31" s="46">
        <v>112008</v>
      </c>
      <c r="AK31" s="46">
        <v>112007</v>
      </c>
      <c r="AL31" s="46">
        <v>112009</v>
      </c>
      <c r="AM31" s="46">
        <v>112010</v>
      </c>
    </row>
    <row r="32" spans="1:39" ht="32.1" customHeight="1">
      <c r="A32" s="118"/>
      <c r="B32" s="96" t="str">
        <f>VLOOKUP("lfm",Sprachindex!A:Z,Info!$O$6,FALSE)</f>
        <v>lfm</v>
      </c>
      <c r="C32" s="95"/>
      <c r="D32" s="99">
        <v>562005</v>
      </c>
      <c r="E32" s="250" t="str">
        <f>VLOOKUP("Saumstreifen 1x158x1800mm ",Sprachindex!A:Z,Info!$O$6,FALSE)</f>
        <v xml:space="preserve">Saumstreifen 1x158x1800mm </v>
      </c>
      <c r="F32" s="251"/>
      <c r="G32" s="251"/>
      <c r="H32" s="251"/>
      <c r="I32" s="251"/>
      <c r="J32" s="251"/>
      <c r="K32" s="257"/>
      <c r="L32" s="96" t="str">
        <f t="shared" si="0"/>
        <v/>
      </c>
      <c r="M32" s="97"/>
      <c r="P32" s="191" t="str">
        <f>ROUNDUP($A32/1.8,0)*1.8 &amp; " " &amp; Formeln!$A$112 &amp; "                     " &amp; "(="&amp;ROUNDUP($A32/1.8,0)&amp; " " &amp; Formeln!$A$111 &amp; ")"</f>
        <v>0 lfm                     (=0 STK)</v>
      </c>
      <c r="Q32" s="191" t="str">
        <f>ROUNDUP($A32/1.8,0)*1.8 &amp; " " &amp; Formeln!$A$112 &amp; "                     " &amp; "(="&amp;ROUNDUP($A32/1.8,0) &amp;" " &amp; Formeln!$A$111 &amp; ")"</f>
        <v>0 lfm                     (=0 STK)</v>
      </c>
    </row>
    <row r="33" spans="1:39" ht="32.1" customHeight="1">
      <c r="A33" s="118"/>
      <c r="B33" s="96" t="str">
        <f>VLOOKUP("kg",Sprachindex!A:Z,Info!$O$6,FALSE)</f>
        <v>kg</v>
      </c>
      <c r="C33" s="95"/>
      <c r="D33" s="95">
        <f>IF(H33=Formeln!A2,340392,IF(H33=Formeln!A3,340394,IF(H33=Formeln!A4,341392,0)))</f>
        <v>0</v>
      </c>
      <c r="E33" s="250" t="str">
        <f>VLOOKUP("Rillennägel, verzinkt",Sprachindex!A:Z,Info!$O$6,FALSE)</f>
        <v>Rillennägel, verzinkt</v>
      </c>
      <c r="F33" s="251"/>
      <c r="G33" s="251"/>
      <c r="H33" s="252"/>
      <c r="I33" s="267"/>
      <c r="J33" s="267"/>
      <c r="K33" s="253"/>
      <c r="L33" s="96" t="str">
        <f>IF(A33=0,"",IF(H33=Formeln!$A$1,"",IF($N$11=1,P33,Q33)))</f>
        <v/>
      </c>
      <c r="M33" s="97"/>
      <c r="P33" s="191" t="str">
        <f>IF(OR($H33=Formeln!$A$2,$H33=Formeln!$A$3),ROUNDUP($A33/2.5,0)*2.5&amp;" "&amp;Formeln!$A$114&amp;"                  "&amp;"(="&amp;ROUNDUP($A33/2.5,0)*2.5*$R33&amp;" "&amp;Formeln!$A$111&amp;")",ROUNDUP($A33/2,0)*2&amp;" "&amp;Formeln!$A$114&amp;"                  "&amp;"(="&amp;ROUNDUP($A33/2,0)*2*$R33&amp;" "&amp;Formeln!$A$111&amp;"")</f>
        <v>0 kg                  (=0 STK</v>
      </c>
      <c r="Q33" s="191" t="str">
        <f>ROUNDUP($A33,2) &amp; " " &amp; Formeln!$A$114 &amp; "                     " &amp; "(="&amp;ROUNDUP($A33/0.5,1)*0.5*$R33 &amp;" " &amp; Formeln!$A$111 &amp; ")"</f>
        <v>0 kg                     (=0 STK)</v>
      </c>
      <c r="R33" s="6">
        <f>IF(H33=Formeln!A2,570,IF(H33=Formeln!A3,480,IF(H33=Formeln!A4,380,0)))</f>
        <v>0</v>
      </c>
    </row>
    <row r="34" spans="1:39" ht="32.1" customHeight="1">
      <c r="A34" s="118"/>
      <c r="B34" s="96" t="str">
        <f>VLOOKUP("Karton",Sprachindex!A:Z,Info!$O$6,FALSE)</f>
        <v>Karton</v>
      </c>
      <c r="C34" s="95"/>
      <c r="D34" s="99">
        <f>IF(H34=Formeln!A6,341395,IF(H34=Formeln!A7,341396,IF(H34=Formeln!A8,341398,0)))</f>
        <v>0</v>
      </c>
      <c r="E34" s="250" t="str">
        <f>VLOOKUP("Rillennägel gebunden",Sprachindex!A:Z,Info!$O$6,FALSE)</f>
        <v>Rillennägel gebunden</v>
      </c>
      <c r="F34" s="251"/>
      <c r="G34" s="251"/>
      <c r="H34" s="252"/>
      <c r="I34" s="267"/>
      <c r="J34" s="267"/>
      <c r="K34" s="253"/>
      <c r="L34" s="183" t="str">
        <f>IF($A34=0,"",IF($H34=Formeln!$A$5,"",IF($N$11=1,P34,Q34)))</f>
        <v/>
      </c>
      <c r="M34" s="97"/>
      <c r="P34" s="191" t="str">
        <f>ROUNDUP($A34/$R34,0)*$R34 &amp; " " &amp; Formeln!$A$111 &amp; "        " &amp; "(="&amp; ROUNDUP($A34/$R34,0) &amp;" " &amp; Formeln!$A$113 &amp; ")"</f>
        <v>0 STK        (=0 Karton)</v>
      </c>
      <c r="Q34" s="191" t="str">
        <f>$A34&amp;" "&amp;Formeln!$A$111&amp;"        " &amp; "(="&amp;ROUNDUP($A34/$R34,2)&amp;" "&amp;Formeln!$A$113&amp;")"</f>
        <v xml:space="preserve"> STK        (=0 Karton)</v>
      </c>
      <c r="R34" s="6">
        <f>IF(H34=Formeln!A7,2400,3200)</f>
        <v>3200</v>
      </c>
    </row>
    <row r="35" spans="1:39" ht="32.1" customHeight="1">
      <c r="A35" s="118"/>
      <c r="B35" s="96" t="str">
        <f>VLOOKUP("lfm",Sprachindex!A:Z,Info!$O$6,FALSE)</f>
        <v>lfm</v>
      </c>
      <c r="C35" s="95"/>
      <c r="D35" s="95">
        <f>IF($N$21=1,T35,IF($N$21=4,U35,IF($N$21=5,V35,IF($N$21=11,W35,IF($N$21=7,X35,IF($N$21=3,Y35,IF($N$21=6,Z35,IF($N$21=9,AA35,IF($N$21=2,AB35,IF($N$21=8,AC35,0))))))))))</f>
        <v>0</v>
      </c>
      <c r="E35" s="250" t="str">
        <f>VLOOKUP("Einlaufblech",Sprachindex!A:Z,Info!$O$6,FALSE)</f>
        <v>Einlaufblech</v>
      </c>
      <c r="F35" s="251"/>
      <c r="G35" s="251"/>
      <c r="H35" s="251"/>
      <c r="I35" s="251"/>
      <c r="J35" s="251"/>
      <c r="K35" s="257"/>
      <c r="L35" s="96" t="str">
        <f>IF(A35=0,"",IF($N$11=1,P35,Q35))</f>
        <v/>
      </c>
      <c r="M35" s="97"/>
      <c r="P35" s="191" t="str">
        <f>ROUNDUP($A35/2,0)*2 &amp;" " &amp; Formeln!$A$112 &amp; "                " &amp; "(="&amp;ROUNDUP($A35/2,0) &amp; " " &amp;Formeln!$A$111 &amp; ")"</f>
        <v>0 lfm                (=0 STK)</v>
      </c>
      <c r="Q35" s="191" t="str">
        <f>ROUNDUP($A35/2,0)*2 &amp;" " &amp; Formeln!$A$112 &amp; "                " &amp; "(="&amp;ROUNDUP($A35/2,0) &amp; " " &amp;Formeln!$A$111 &amp; ")"</f>
        <v>0 lfm                (=0 STK)</v>
      </c>
      <c r="T35" s="46">
        <v>563004</v>
      </c>
      <c r="U35" s="46">
        <v>563006</v>
      </c>
      <c r="V35" s="46">
        <v>563001</v>
      </c>
      <c r="W35" s="46">
        <v>563005</v>
      </c>
      <c r="Y35" s="46">
        <v>563007</v>
      </c>
      <c r="Z35" s="46">
        <v>563016</v>
      </c>
      <c r="AA35" s="46">
        <v>563011</v>
      </c>
      <c r="AB35" s="46">
        <v>563017</v>
      </c>
      <c r="AC35" s="46"/>
    </row>
    <row r="36" spans="1:39" ht="32.1" customHeight="1">
      <c r="A36" s="118"/>
      <c r="B36" s="96" t="str">
        <f>VLOOKUP("lfm",Sprachindex!A:Z,Info!$O$6,FALSE)</f>
        <v>lfm</v>
      </c>
      <c r="C36" s="99"/>
      <c r="D36" s="99" t="str">
        <f>IF(H36=Formeln!A10,507400,IF(H36=Formeln!A11,507402,IF(H36=Formeln!A12,507411,IF(H36=Formeln!A13,"",0))))</f>
        <v/>
      </c>
      <c r="E36" s="250" t="str">
        <f>VLOOKUP("Lüftungsband",Sprachindex!A:Z,Info!$O$6,FALSE)</f>
        <v>Lüftungsband</v>
      </c>
      <c r="F36" s="251"/>
      <c r="G36" s="251"/>
      <c r="H36" s="252"/>
      <c r="I36" s="267"/>
      <c r="J36" s="267"/>
      <c r="K36" s="253"/>
      <c r="L36" s="96" t="str">
        <f>IF($H36=Formeln!$A$9," ",IF(A36=0,"",IF($N$11=1,P36,Q36)))</f>
        <v xml:space="preserve"> </v>
      </c>
      <c r="M36" s="97"/>
      <c r="P36" s="191" t="str">
        <f>ROUNDUP($A36/40,0)*40 &amp;" " &amp; Formeln!$A$112</f>
        <v>0 lfm</v>
      </c>
      <c r="Q36" s="191" t="str">
        <f>$A36 &amp;" " &amp; Formeln!$A$112</f>
        <v xml:space="preserve"> lfm</v>
      </c>
      <c r="T36" s="47" t="s">
        <v>25</v>
      </c>
      <c r="U36" s="13"/>
      <c r="V36" s="13"/>
      <c r="W36" s="13"/>
      <c r="X36" s="13"/>
      <c r="Y36" s="13"/>
      <c r="Z36" s="13"/>
      <c r="AA36" s="13"/>
      <c r="AB36" s="13"/>
      <c r="AC36" s="13"/>
      <c r="AD36" s="47" t="s">
        <v>26</v>
      </c>
      <c r="AE36" s="13"/>
      <c r="AF36" s="13"/>
      <c r="AG36" s="13"/>
      <c r="AH36" s="13"/>
      <c r="AI36" s="13"/>
      <c r="AJ36" s="13"/>
      <c r="AK36" s="13"/>
      <c r="AL36" s="13"/>
      <c r="AM36" s="48"/>
    </row>
    <row r="37" spans="1:39" ht="32.1" customHeight="1">
      <c r="A37" s="118"/>
      <c r="B37" s="96" t="str">
        <f>VLOOKUP("lfm",Sprachindex!A:Z,Info!$O$6,FALSE)</f>
        <v>lfm</v>
      </c>
      <c r="C37" s="95"/>
      <c r="D37" s="95">
        <v>507300</v>
      </c>
      <c r="E37" s="250" t="str">
        <f>VLOOKUP("Vogelschutzgitter, Lochbreite 5mm, 0,70x125x2000mm, braun/anthrazit",Sprachindex!A:Z,Info!$O$6,FALSE)</f>
        <v>Vogelschutzgitter, Lochbreite 5mm, 0,70x125x2000mm, braun/anthrazit</v>
      </c>
      <c r="F37" s="251"/>
      <c r="G37" s="251"/>
      <c r="H37" s="251"/>
      <c r="I37" s="251"/>
      <c r="J37" s="251"/>
      <c r="K37" s="257"/>
      <c r="L37" s="96" t="str">
        <f t="shared" ref="L37:L45" si="1">IF(A37=0,"",IF($N$11=1,P37,Q37))</f>
        <v/>
      </c>
      <c r="M37" s="97"/>
      <c r="P37" s="191" t="str">
        <f>ROUNDUP($A37/2,0)*2 &amp;" " &amp; Formeln!$A$112 &amp; "                " &amp; "(="&amp;ROUNDUP($A37/2,0) &amp; " " &amp;Formeln!$A$111 &amp; ")"</f>
        <v>0 lfm                (=0 STK)</v>
      </c>
      <c r="Q37" s="191" t="str">
        <f>ROUNDUP($A37/2,0)*2 &amp;" " &amp; Formeln!$A$112 &amp; "                " &amp; "(="&amp;ROUNDUP($A37/2,0) &amp; " " &amp;Formeln!$A$111 &amp; ")"</f>
        <v>0 lfm                (=0 STK)</v>
      </c>
      <c r="T37" s="49" t="s">
        <v>29</v>
      </c>
      <c r="U37" s="49" t="s">
        <v>30</v>
      </c>
      <c r="V37" s="49" t="s">
        <v>31</v>
      </c>
      <c r="W37" s="49" t="s">
        <v>32</v>
      </c>
      <c r="X37" s="49" t="s">
        <v>33</v>
      </c>
      <c r="Y37" s="49" t="s">
        <v>34</v>
      </c>
      <c r="Z37" s="49" t="s">
        <v>35</v>
      </c>
      <c r="AA37" s="49" t="s">
        <v>36</v>
      </c>
      <c r="AB37" s="49" t="s">
        <v>37</v>
      </c>
      <c r="AC37" s="49" t="s">
        <v>38</v>
      </c>
      <c r="AD37" s="49" t="s">
        <v>29</v>
      </c>
      <c r="AE37" s="49" t="s">
        <v>30</v>
      </c>
      <c r="AF37" s="49" t="s">
        <v>31</v>
      </c>
      <c r="AG37" s="49" t="s">
        <v>32</v>
      </c>
      <c r="AH37" s="49" t="s">
        <v>33</v>
      </c>
      <c r="AI37" s="49" t="s">
        <v>34</v>
      </c>
      <c r="AJ37" s="49" t="s">
        <v>35</v>
      </c>
      <c r="AK37" s="49" t="s">
        <v>36</v>
      </c>
      <c r="AL37" s="49" t="s">
        <v>37</v>
      </c>
      <c r="AM37" s="49" t="s">
        <v>38</v>
      </c>
    </row>
    <row r="38" spans="1:39" ht="32.1" customHeight="1">
      <c r="A38" s="118"/>
      <c r="B38" s="96" t="str">
        <f>VLOOKUP("lfm",Sprachindex!A:Z,Info!$O$6,FALSE)</f>
        <v>lfm</v>
      </c>
      <c r="C38" s="95"/>
      <c r="D38" s="95">
        <f t="shared" ref="D38:D44" si="2">IF(AND($N$9=2,$N$21=1),T38,IF(AND($N$9=2,$N$21=4),U38,IF(AND($N$9=2,$N$21=5),V38,IF(AND($N$9=2,$N$21=11),W38,IF(AND($N$9=2,$N$21=7),X38,IF(AND($N$9=2,$N$21=3),Y38,IF(AND($N$9=2,$N$21=6),Z38,IF(AND($N$9=2,$N$21=9),AA38,IF(AND($N$9=2,$N$21=2),AB38,IF(AND($N$9=2,$N$21=8),AC38,IF(AND($N$9=1,$N$21=1),AD38,IF(AND($N$9=1,$N$21=1),AD38,IF(AND($N$9=1,$N$21=4),AE38,IF(AND($N$9=1,$N$21=5),AF38,IF(AND($N$9=1,$N$21=11),AG38,IF(AND($N$9=1,$N$21=7),AH38,IF(AND($N$9=1,$N$21=3),AI38,IF(AND($N$9=1,$N$21=6),AJ38,IF(AND($N$9=1,$N$21=9),AK38,IF(AND($N$9=1,$N$21=2),AL38,IF(AND($N$9=1,$N$21=8),AM38,0)))))))))))))))))))))</f>
        <v>0</v>
      </c>
      <c r="E38" s="250" t="str">
        <f>VLOOKUP("Ortgangstreifen, 0,70x95x2000mm",Sprachindex!A:Z,Info!$O$6,FALSE)</f>
        <v>Ortgangstreifen, 0,70x95x2000mm</v>
      </c>
      <c r="F38" s="251"/>
      <c r="G38" s="251"/>
      <c r="H38" s="251"/>
      <c r="I38" s="251"/>
      <c r="J38" s="251"/>
      <c r="K38" s="257"/>
      <c r="L38" s="96" t="str">
        <f t="shared" si="1"/>
        <v/>
      </c>
      <c r="M38" s="97"/>
      <c r="P38" s="191" t="str">
        <f>ROUNDUP($A38/2,0)*2 &amp;" " &amp; Formeln!$A$112 &amp; "                " &amp; "(="&amp;ROUNDUP($A38/2,0) &amp; " " &amp;Formeln!$A$111 &amp; ")"</f>
        <v>0 lfm                (=0 STK)</v>
      </c>
      <c r="Q38" s="191" t="str">
        <f>ROUNDUP($A38/2,0)*2 &amp;" " &amp; Formeln!$A$112 &amp; "                " &amp; "(="&amp;ROUNDUP($A38/2,0) &amp; " " &amp;Formeln!$A$111 &amp; ")"</f>
        <v>0 lfm                (=0 STK)</v>
      </c>
      <c r="T38" s="46">
        <v>110500</v>
      </c>
      <c r="U38" s="46">
        <v>110501</v>
      </c>
      <c r="V38" s="46">
        <v>110502</v>
      </c>
      <c r="W38" s="46">
        <v>110503</v>
      </c>
      <c r="X38" s="46">
        <v>110504</v>
      </c>
      <c r="Y38" s="46">
        <v>110505</v>
      </c>
      <c r="Z38" s="46">
        <v>110506</v>
      </c>
      <c r="AA38" s="46">
        <v>110507</v>
      </c>
      <c r="AB38" s="46">
        <v>110508</v>
      </c>
      <c r="AC38" s="46"/>
      <c r="AD38" s="46">
        <v>110510</v>
      </c>
      <c r="AE38" s="46">
        <v>110511</v>
      </c>
      <c r="AF38" s="46">
        <v>110512</v>
      </c>
      <c r="AG38" s="46">
        <v>110513</v>
      </c>
      <c r="AH38" s="46">
        <v>110514</v>
      </c>
      <c r="AI38" s="46">
        <v>110515</v>
      </c>
      <c r="AJ38" s="46">
        <v>110516</v>
      </c>
      <c r="AK38" s="46">
        <v>110517</v>
      </c>
      <c r="AL38" s="46">
        <v>110518</v>
      </c>
      <c r="AM38" s="1">
        <v>110519</v>
      </c>
    </row>
    <row r="39" spans="1:39" ht="32.1" customHeight="1">
      <c r="A39" s="118"/>
      <c r="B39" s="96" t="str">
        <f>VLOOKUP("lfm",Sprachindex!A:Z,Info!$O$6,FALSE)</f>
        <v>lfm</v>
      </c>
      <c r="C39" s="95"/>
      <c r="D39" s="95">
        <f t="shared" si="2"/>
        <v>0</v>
      </c>
      <c r="E39" s="250" t="str">
        <f>VLOOKUP("Sicherheitskehle 3m lang",Sprachindex!A:Z,Info!$O$6,FALSE)</f>
        <v>Sicherheitskehle 3m lang</v>
      </c>
      <c r="F39" s="251"/>
      <c r="G39" s="251"/>
      <c r="H39" s="251"/>
      <c r="I39" s="251"/>
      <c r="J39" s="251"/>
      <c r="K39" s="257"/>
      <c r="L39" s="96" t="str">
        <f t="shared" si="1"/>
        <v/>
      </c>
      <c r="M39" s="97"/>
      <c r="P39" s="191" t="str">
        <f>ROUNDUP($A39/3,0)*3 &amp;" " &amp; Formeln!$A$112 &amp; "                " &amp; "(="&amp;ROUNDUP($A39/3,0) &amp; " " &amp;Formeln!$A$111 &amp; ")"</f>
        <v>0 lfm                (=0 STK)</v>
      </c>
      <c r="Q39" s="191" t="str">
        <f>ROUNDUP($A39/3,0)*3 &amp;" " &amp; Formeln!$A$112 &amp; "                " &amp; "(="&amp;ROUNDUP($A39/3,0) &amp; " " &amp;Formeln!$A$111 &amp; ")"</f>
        <v>0 lfm                (=0 STK)</v>
      </c>
      <c r="T39" s="46">
        <v>110520</v>
      </c>
      <c r="U39" s="46">
        <v>110521</v>
      </c>
      <c r="V39" s="46">
        <v>110522</v>
      </c>
      <c r="W39" s="46">
        <v>110523</v>
      </c>
      <c r="X39" s="46">
        <v>110524</v>
      </c>
      <c r="Y39" s="46">
        <v>110525</v>
      </c>
      <c r="Z39" s="46">
        <v>110526</v>
      </c>
      <c r="AA39" s="46">
        <v>110527</v>
      </c>
      <c r="AB39" s="46">
        <v>110528</v>
      </c>
      <c r="AD39" s="46">
        <v>110530</v>
      </c>
      <c r="AE39" s="46">
        <v>110531</v>
      </c>
      <c r="AF39" s="46">
        <v>110532</v>
      </c>
      <c r="AG39" s="46">
        <v>110533</v>
      </c>
      <c r="AH39" s="46">
        <v>110534</v>
      </c>
      <c r="AI39" s="46">
        <v>110535</v>
      </c>
      <c r="AJ39" s="46">
        <v>110536</v>
      </c>
      <c r="AK39" s="46">
        <v>110537</v>
      </c>
      <c r="AL39" s="46">
        <v>110538</v>
      </c>
      <c r="AM39" s="1">
        <v>110539</v>
      </c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f t="shared" si="2"/>
        <v>0</v>
      </c>
      <c r="E40" s="250" t="str">
        <f>VLOOKUP("Grat-Firstreiter inkl. Dichtschrauben ",Sprachindex!A:Z,Info!$O$6,FALSE)</f>
        <v xml:space="preserve">Grat-Firstreiter inkl. Dichtschrauben </v>
      </c>
      <c r="F40" s="251"/>
      <c r="G40" s="251"/>
      <c r="H40" s="251"/>
      <c r="I40" s="251"/>
      <c r="J40" s="251"/>
      <c r="K40" s="257"/>
      <c r="L40" s="96" t="str">
        <f>IF(A40=0,"",IF($N$11=1,P40,Q40))</f>
        <v/>
      </c>
      <c r="M40" s="97"/>
      <c r="P40" s="191" t="str">
        <f>ROUNDUP($A40/10,0)*10 &amp;" " &amp; Formeln!$A$112 &amp; "                     " &amp; "(="&amp;ROUNDUP($A40/10,0)*10/0.5 &amp; " " &amp; Formeln!$A$111 &amp; ")"</f>
        <v>0 lfm                     (=0 STK)</v>
      </c>
      <c r="Q40" s="191" t="str">
        <f>ROUNDUP($A40/0.5,0)*0.5 &amp;" " &amp; Formeln!$A$112 &amp; "                     " &amp; "(="&amp;ROUNDUP($A40/0.5,0)&amp; " " &amp; Formeln!$A$111 &amp; ")"</f>
        <v>0 lfm                     (=0 STK)</v>
      </c>
      <c r="T40" s="46">
        <v>110340</v>
      </c>
      <c r="U40" s="46">
        <v>110341</v>
      </c>
      <c r="V40" s="46">
        <v>110342</v>
      </c>
      <c r="W40" s="46">
        <v>110343</v>
      </c>
      <c r="X40" s="46">
        <v>110344</v>
      </c>
      <c r="Y40" s="46">
        <v>110345</v>
      </c>
      <c r="Z40" s="46">
        <v>110346</v>
      </c>
      <c r="AA40" s="46">
        <v>110347</v>
      </c>
      <c r="AB40" s="46">
        <v>110348</v>
      </c>
      <c r="AC40" s="46"/>
      <c r="AD40" s="46">
        <v>110350</v>
      </c>
      <c r="AE40" s="46">
        <v>110351</v>
      </c>
      <c r="AF40" s="46">
        <v>110352</v>
      </c>
      <c r="AG40" s="46">
        <v>110353</v>
      </c>
      <c r="AH40" s="46">
        <v>110354</v>
      </c>
      <c r="AI40" s="46">
        <v>110355</v>
      </c>
      <c r="AJ40" s="46">
        <v>110356</v>
      </c>
      <c r="AK40" s="46">
        <v>110357</v>
      </c>
      <c r="AL40" s="46">
        <v>110358</v>
      </c>
      <c r="AM40" s="1">
        <v>110359</v>
      </c>
    </row>
    <row r="41" spans="1:39" ht="32.1" customHeight="1">
      <c r="A41" s="118"/>
      <c r="B41" s="96" t="str">
        <f>VLOOKUP("Stk",Sprachindex!A:Z,Info!$O$6,FALSE)</f>
        <v>STK</v>
      </c>
      <c r="C41" s="95"/>
      <c r="D41" s="95">
        <f t="shared" si="2"/>
        <v>0</v>
      </c>
      <c r="E41" s="250" t="str">
        <f>VLOOKUP("Gratreitervorkopf",Sprachindex!A:Z,Info!$O$6,FALSE)</f>
        <v>Gratreitervorkopf</v>
      </c>
      <c r="F41" s="251"/>
      <c r="G41" s="251"/>
      <c r="H41" s="251"/>
      <c r="I41" s="251"/>
      <c r="J41" s="251"/>
      <c r="K41" s="257"/>
      <c r="L41" s="96" t="str">
        <f t="shared" si="1"/>
        <v/>
      </c>
      <c r="M41" s="97"/>
      <c r="P41" s="191" t="str">
        <f>ROUNDUP($A41/10,0)*10 &amp;" " &amp; Formeln!$A$111</f>
        <v>0 STK</v>
      </c>
      <c r="Q41" s="191" t="str">
        <f>ROUNDUP($A41/1,0)*1 &amp;" " &amp; Formeln!$A$111</f>
        <v>0 STK</v>
      </c>
      <c r="T41" s="46">
        <v>110320</v>
      </c>
      <c r="U41" s="46">
        <v>110321</v>
      </c>
      <c r="V41" s="46">
        <v>110322</v>
      </c>
      <c r="W41" s="46">
        <v>110323</v>
      </c>
      <c r="X41" s="46">
        <v>110324</v>
      </c>
      <c r="Y41" s="46">
        <v>110325</v>
      </c>
      <c r="Z41" s="46">
        <v>110326</v>
      </c>
      <c r="AA41" s="46">
        <v>110327</v>
      </c>
      <c r="AB41" s="46">
        <v>110328</v>
      </c>
      <c r="AC41" s="46"/>
      <c r="AD41" s="46">
        <v>110330</v>
      </c>
      <c r="AE41" s="46">
        <v>110331</v>
      </c>
      <c r="AF41" s="46">
        <v>110332</v>
      </c>
      <c r="AG41" s="46">
        <v>110333</v>
      </c>
      <c r="AH41" s="46">
        <v>110334</v>
      </c>
      <c r="AI41" s="46">
        <v>110335</v>
      </c>
      <c r="AJ41" s="46">
        <v>110336</v>
      </c>
      <c r="AK41" s="46">
        <v>110337</v>
      </c>
      <c r="AL41" s="46">
        <v>110338</v>
      </c>
      <c r="AM41" s="46">
        <v>110339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si="2"/>
        <v>0</v>
      </c>
      <c r="E42" s="250" t="str">
        <f>VLOOKUP("Jet-Lüfter 1.2m lang",Sprachindex!A:Z,Info!$O$6,FALSE)</f>
        <v>Jet-Lüfter 1.2m lang</v>
      </c>
      <c r="F42" s="251"/>
      <c r="G42" s="251"/>
      <c r="H42" s="251"/>
      <c r="I42" s="251"/>
      <c r="J42" s="251"/>
      <c r="K42" s="257"/>
      <c r="L42" s="96" t="str">
        <f t="shared" si="1"/>
        <v/>
      </c>
      <c r="M42" s="97"/>
      <c r="P42" s="191" t="str">
        <f>ROUNDUP($A42/1.2,0)*1.2 &amp;" " &amp; Formeln!$A$112 &amp; "                " &amp; "(="&amp;ROUNDUP($A42/1.2,0) &amp; " " &amp;Formeln!$A$111 &amp; ")"</f>
        <v>0 lfm                (=0 STK)</v>
      </c>
      <c r="Q42" s="191" t="str">
        <f>ROUNDUP($A42/1.2,0)*1.2 &amp;" " &amp; Formeln!$A$112 &amp; "                " &amp; "(="&amp;ROUNDUP($A42/1.2,0) &amp; " " &amp;Formeln!$A$111 &amp; ")"</f>
        <v>0 lfm                (=0 STK)</v>
      </c>
      <c r="T42" s="46">
        <v>110640</v>
      </c>
      <c r="U42" s="46">
        <v>110641</v>
      </c>
      <c r="V42" s="46">
        <v>110642</v>
      </c>
      <c r="W42" s="46">
        <v>110643</v>
      </c>
      <c r="X42" s="46">
        <v>110644</v>
      </c>
      <c r="Y42" s="46">
        <v>110645</v>
      </c>
      <c r="Z42" s="46">
        <v>110646</v>
      </c>
      <c r="AA42" s="46">
        <v>110647</v>
      </c>
      <c r="AB42" s="46">
        <v>110648</v>
      </c>
      <c r="AC42" s="46"/>
      <c r="AD42" s="46">
        <v>110650</v>
      </c>
      <c r="AE42" s="46">
        <v>110651</v>
      </c>
      <c r="AF42" s="46">
        <v>110652</v>
      </c>
      <c r="AG42" s="46">
        <v>110653</v>
      </c>
      <c r="AH42" s="46">
        <v>110654</v>
      </c>
      <c r="AI42" s="46">
        <v>110655</v>
      </c>
      <c r="AJ42" s="46">
        <v>110656</v>
      </c>
      <c r="AK42" s="46">
        <v>110657</v>
      </c>
      <c r="AL42" s="46">
        <v>110658</v>
      </c>
      <c r="AM42" s="46">
        <v>110659</v>
      </c>
    </row>
    <row r="43" spans="1:39" ht="32.1" customHeight="1">
      <c r="A43" s="118"/>
      <c r="B43" s="96" t="str">
        <f>VLOOKUP("lfm",Sprachindex!A:Z,Info!$O$6,FALSE)</f>
        <v>lfm</v>
      </c>
      <c r="C43" s="95"/>
      <c r="D43" s="95">
        <f t="shared" si="2"/>
        <v>0</v>
      </c>
      <c r="E43" s="250" t="str">
        <f>VLOOKUP("Jet-Lüfter",Sprachindex!A:Z,Info!$O$6,FALSE)</f>
        <v>Jet-Lüfter</v>
      </c>
      <c r="F43" s="251"/>
      <c r="G43" s="251"/>
      <c r="H43" s="251"/>
      <c r="I43" s="251"/>
      <c r="J43" s="251"/>
      <c r="K43" s="257"/>
      <c r="L43" s="96" t="str">
        <f t="shared" si="1"/>
        <v/>
      </c>
      <c r="M43" s="97"/>
      <c r="P43" s="191" t="str">
        <f>ROUNDUP($A43/9,0)*9 &amp;" " &amp; Formeln!$A$112 &amp; "                " &amp; "(="&amp;ROUNDUP($A43/9,0)*3 &amp; " " &amp;Formeln!$A$111 &amp; ")"</f>
        <v>0 lfm                (=0 STK)</v>
      </c>
      <c r="Q43" s="191" t="str">
        <f>ROUNDUP($A43/3,0)*3 &amp;" " &amp; Formeln!$A$112 &amp; "                " &amp; "(="&amp;ROUNDUP($A43/3,0) &amp; " " &amp;Formeln!$A$111 &amp; ")"</f>
        <v>0 lfm                (=0 STK)</v>
      </c>
      <c r="T43" s="46">
        <v>110620</v>
      </c>
      <c r="U43" s="46">
        <v>110621</v>
      </c>
      <c r="V43" s="46">
        <v>110622</v>
      </c>
      <c r="W43" s="46">
        <v>110623</v>
      </c>
      <c r="X43" s="46">
        <v>110624</v>
      </c>
      <c r="Y43" s="46">
        <v>110625</v>
      </c>
      <c r="Z43" s="46">
        <v>110626</v>
      </c>
      <c r="AA43" s="46">
        <v>110627</v>
      </c>
      <c r="AB43" s="46">
        <v>110628</v>
      </c>
      <c r="AC43" s="46"/>
      <c r="AD43" s="46">
        <v>110630</v>
      </c>
      <c r="AE43" s="46">
        <v>110631</v>
      </c>
      <c r="AF43" s="46">
        <v>110632</v>
      </c>
      <c r="AG43" s="46">
        <v>110633</v>
      </c>
      <c r="AH43" s="46">
        <v>110634</v>
      </c>
      <c r="AI43" s="46">
        <v>110635</v>
      </c>
      <c r="AJ43" s="46">
        <v>110636</v>
      </c>
      <c r="AK43" s="46">
        <v>110637</v>
      </c>
      <c r="AL43" s="46">
        <v>110638</v>
      </c>
      <c r="AM43" s="46">
        <v>110639</v>
      </c>
    </row>
    <row r="44" spans="1:39" ht="32.1" customHeight="1">
      <c r="A44" s="118"/>
      <c r="B44" s="96" t="str">
        <f>VLOOKUP("Stk",Sprachindex!A:Z,Info!$O$6,FALSE)</f>
        <v>STK</v>
      </c>
      <c r="C44" s="95"/>
      <c r="D44" s="95">
        <f t="shared" si="2"/>
        <v>0</v>
      </c>
      <c r="E44" s="250" t="str">
        <f>VLOOKUP("Jet-Lüfter-Vorkopf",Sprachindex!A:Z,Info!$O$6,FALSE)</f>
        <v>Jet-Lüfter-Vorkopf</v>
      </c>
      <c r="F44" s="251"/>
      <c r="G44" s="251"/>
      <c r="H44" s="251"/>
      <c r="I44" s="251"/>
      <c r="J44" s="251"/>
      <c r="K44" s="257"/>
      <c r="L44" s="96" t="str">
        <f t="shared" si="1"/>
        <v/>
      </c>
      <c r="M44" s="97"/>
      <c r="P44" s="191" t="str">
        <f>ROUNDUP($A44/2,0)*2 &amp;" " &amp; Formeln!$A$111</f>
        <v>0 STK</v>
      </c>
      <c r="Q44" s="191" t="str">
        <f>ROUNDUP($A44/1,0)*1 &amp;" " &amp; Formeln!$A$111</f>
        <v>0 STK</v>
      </c>
      <c r="T44" s="46">
        <v>110600</v>
      </c>
      <c r="U44" s="46">
        <v>110601</v>
      </c>
      <c r="V44" s="46">
        <v>110602</v>
      </c>
      <c r="W44" s="46">
        <v>110603</v>
      </c>
      <c r="X44" s="46">
        <v>110604</v>
      </c>
      <c r="Y44" s="46">
        <v>110605</v>
      </c>
      <c r="Z44" s="46">
        <v>110606</v>
      </c>
      <c r="AA44" s="46">
        <v>110607</v>
      </c>
      <c r="AB44" s="46">
        <v>110608</v>
      </c>
      <c r="AC44" s="46"/>
      <c r="AD44" s="46">
        <v>110610</v>
      </c>
      <c r="AE44" s="46">
        <v>110611</v>
      </c>
      <c r="AF44" s="46">
        <v>110612</v>
      </c>
      <c r="AG44" s="46">
        <v>110613</v>
      </c>
      <c r="AH44" s="46">
        <v>110614</v>
      </c>
      <c r="AI44" s="46">
        <v>110615</v>
      </c>
      <c r="AJ44" s="46">
        <v>110616</v>
      </c>
      <c r="AK44" s="46">
        <v>110617</v>
      </c>
      <c r="AL44" s="46">
        <v>110618</v>
      </c>
      <c r="AM44" s="46">
        <v>110619</v>
      </c>
    </row>
    <row r="45" spans="1:39" ht="32.1" customHeight="1">
      <c r="A45" s="118"/>
      <c r="B45" s="96" t="str">
        <f>VLOOKUP("Stk",Sprachindex!A:Z,Info!$O$6,FALSE)</f>
        <v>STK</v>
      </c>
      <c r="C45" s="95"/>
      <c r="D45" s="95">
        <f>IF($N$21=1,T45,IF($N$21=4,U45,IF($N$21=5,V45,IF($N$21=11,W45,IF($N$21=7,X45,IF($N$21=3,Y45,IF($N$21=6,Z45,IF($N$21=9,AA45,IF($N$21=2,AB45,IF($N$21=8,AC45,0))))))))))</f>
        <v>0</v>
      </c>
      <c r="E45" s="250" t="str">
        <f>VLOOKUP("Dichtschraube NIRO, 4,5x25",Sprachindex!A:Z,Info!$O$6,FALSE)</f>
        <v>Dichtschraube NIRO, 4,5x25</v>
      </c>
      <c r="F45" s="251"/>
      <c r="G45" s="251"/>
      <c r="H45" s="251"/>
      <c r="I45" s="251"/>
      <c r="J45" s="251"/>
      <c r="K45" s="257"/>
      <c r="L45" s="96" t="str">
        <f t="shared" si="1"/>
        <v/>
      </c>
      <c r="M45" s="97"/>
      <c r="P45" s="191" t="str">
        <f>ROUNDUP($A45/200,0)*200 &amp;" " &amp; Formeln!$A$111</f>
        <v>0 STK</v>
      </c>
      <c r="Q45" s="191" t="str">
        <f>ROUNDUP($A45,0) &amp;" " &amp; Formeln!$A$111</f>
        <v>0 STK</v>
      </c>
      <c r="T45" s="46">
        <v>340041</v>
      </c>
      <c r="U45" s="46">
        <v>340042</v>
      </c>
      <c r="V45" s="46">
        <v>340043</v>
      </c>
      <c r="W45" s="46">
        <v>340044</v>
      </c>
      <c r="X45" s="179"/>
      <c r="Y45" s="46">
        <v>340045</v>
      </c>
      <c r="Z45" s="46">
        <v>340046</v>
      </c>
      <c r="AA45" s="46">
        <v>340047</v>
      </c>
      <c r="AB45" s="46">
        <v>340048</v>
      </c>
      <c r="AC45" s="46">
        <v>340049</v>
      </c>
      <c r="AD45" s="1" t="s">
        <v>48</v>
      </c>
    </row>
    <row r="46" spans="1:39" ht="32.1" customHeight="1">
      <c r="A46" s="118"/>
      <c r="B46" s="96" t="str">
        <f>VLOOKUP("Stk",Sprachindex!A:Z,Info!$O$6,FALSE)</f>
        <v>STK</v>
      </c>
      <c r="C46" s="95"/>
      <c r="D46" s="95">
        <f>IF(H46=Formeln!A12,IF($N$21=1,T46,IF($N$21=4,U46,IF($N$21=5,V46,IF($N$21=11,W46,IF($N$21=7,X46,IF($N$21=3,Y46,IF($N$21=6,Z46,IF($N$21=9,AA46,IF($N$21=2,AB46,IF($N$21=8,AC46,0)))))))))),IF(H46=Formeln!A13,AD46,0))</f>
        <v>340103</v>
      </c>
      <c r="E46" s="250" t="str">
        <f>VLOOKUP("Dichtschraube NIRO",Sprachindex!A:Z,Info!$O$6,FALSE)</f>
        <v>Dichtschraube NIRO</v>
      </c>
      <c r="F46" s="251"/>
      <c r="G46" s="251"/>
      <c r="H46" s="252"/>
      <c r="I46" s="267"/>
      <c r="J46" s="267"/>
      <c r="K46" s="253"/>
      <c r="L46" s="96" t="str">
        <f>IF(A46=0,"",IF(H46=Formeln!$A$14," ",IF($N$11=1,P46,Q46)))</f>
        <v/>
      </c>
      <c r="M46" s="97"/>
      <c r="P46" s="191" t="str">
        <f>ROUNDUP($A46/250,0)*250 &amp;" " &amp; Formeln!$A$111</f>
        <v>0 STK</v>
      </c>
      <c r="Q46" s="191" t="str">
        <f>ROUNDUP($A46,0) &amp;" " &amp; Formeln!$A$111</f>
        <v>0 STK</v>
      </c>
      <c r="T46" s="46">
        <v>340001</v>
      </c>
      <c r="U46" s="46">
        <v>340004</v>
      </c>
      <c r="V46" s="46">
        <v>340003</v>
      </c>
      <c r="W46" s="46">
        <v>340104</v>
      </c>
      <c r="Y46" s="46">
        <v>340002</v>
      </c>
      <c r="Z46" s="46">
        <v>340016</v>
      </c>
      <c r="AA46" s="46">
        <v>340011</v>
      </c>
      <c r="AB46" s="46">
        <v>340014</v>
      </c>
      <c r="AC46" s="46">
        <v>340013</v>
      </c>
      <c r="AD46" s="1">
        <v>340103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>IF(H47=Formeln!A15,IF($N$21=1,T47,IF($N$21=4,U47,IF($N$21=5,V47,IF($N$21=11,W47,IF($N$21=7,X47,IF($N$21=3,Y47,IF($N$21=6,Z47,IF($N$21=9,AA47,IF($N$21=2,AB47,IF($N$21=8,AC47,0)))))))))),IF(H47=Formeln!A16,AD47,0))</f>
        <v>0</v>
      </c>
      <c r="E47" s="250" t="str">
        <f>VLOOKUP("Dichtschraube NIRO",Sprachindex!A:Z,Info!$O$6,FALSE)</f>
        <v>Dichtschraube NIRO</v>
      </c>
      <c r="F47" s="251"/>
      <c r="G47" s="251"/>
      <c r="H47" s="252"/>
      <c r="I47" s="267"/>
      <c r="J47" s="267"/>
      <c r="K47" s="253"/>
      <c r="L47" s="96" t="str">
        <f>IF(A47=0,"",IF(H47=Formeln!$A$14," ",IF($N$11=1,P47,Q47)))</f>
        <v/>
      </c>
      <c r="M47" s="97"/>
      <c r="P47" s="191" t="str">
        <f>ROUNDUP($A47/100,0)*100 &amp;" " &amp; Formeln!$A$111</f>
        <v>0 STK</v>
      </c>
      <c r="Q47" s="191" t="str">
        <f>ROUNDUP($A47,0) &amp;" " &amp; Formeln!$A$111</f>
        <v>0 STK</v>
      </c>
      <c r="T47" s="46">
        <v>340020</v>
      </c>
      <c r="U47" s="46">
        <v>340024</v>
      </c>
      <c r="V47" s="46">
        <v>340022</v>
      </c>
      <c r="W47" s="46">
        <v>340021</v>
      </c>
      <c r="Y47" s="46">
        <v>340025</v>
      </c>
      <c r="Z47" s="46">
        <v>340032</v>
      </c>
      <c r="AA47" s="46">
        <v>340027</v>
      </c>
      <c r="AB47" s="46">
        <v>340030</v>
      </c>
      <c r="AC47" s="46">
        <v>340036</v>
      </c>
      <c r="AD47" s="1">
        <v>340106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0" t="str">
        <f>VLOOKUP("Froschmaullukenhaube",Sprachindex!A:Z,Info!$O$6,FALSE)</f>
        <v>Froschmaullukenhaube</v>
      </c>
      <c r="F48" s="251"/>
      <c r="G48" s="251"/>
      <c r="H48" s="251"/>
      <c r="I48" s="251"/>
      <c r="J48" s="251"/>
      <c r="K48" s="257"/>
      <c r="L48" s="96" t="str">
        <f t="shared" si="0"/>
        <v/>
      </c>
      <c r="M48" s="97"/>
      <c r="P48" s="191" t="str">
        <f>ROUNDUP($A48/20,0)*20 &amp;" " &amp; Formeln!$A$111</f>
        <v>0 STK</v>
      </c>
      <c r="Q48" s="191" t="str">
        <f>ROUNDUP($A48,0) &amp;" " &amp; Formeln!$A$111</f>
        <v>0 STK</v>
      </c>
      <c r="T48" s="46">
        <v>110100</v>
      </c>
      <c r="U48" s="46">
        <v>110101</v>
      </c>
      <c r="V48" s="46">
        <v>110102</v>
      </c>
      <c r="W48" s="46">
        <v>110103</v>
      </c>
      <c r="X48" s="46">
        <v>110104</v>
      </c>
      <c r="Y48" s="46">
        <v>110105</v>
      </c>
      <c r="Z48" s="46">
        <v>110106</v>
      </c>
      <c r="AA48" s="46">
        <v>110107</v>
      </c>
      <c r="AB48" s="46">
        <v>110108</v>
      </c>
      <c r="AC48" s="46">
        <v>121005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v>545106</v>
      </c>
      <c r="E49" s="261" t="str">
        <f>VLOOKUP("Einfassung Vario, 120-600 mm, stucco",Sprachindex!A:Z,Info!$O$6,FALSE)</f>
        <v>Einfassung Vario, 120-600 mm, stucco</v>
      </c>
      <c r="F49" s="262"/>
      <c r="G49" s="262"/>
      <c r="H49" s="262"/>
      <c r="I49" s="262"/>
      <c r="J49" s="262"/>
      <c r="K49" s="263"/>
      <c r="L49" s="96" t="str">
        <f>IF($A49=0,"",IF($J49=Formeln!$A$27," ",IF($N$11=1,P49,Q49)))</f>
        <v/>
      </c>
      <c r="M49" s="97"/>
      <c r="P49" s="191"/>
      <c r="Q49" s="191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v>545106</v>
      </c>
      <c r="E50" s="261" t="str">
        <f>VLOOKUP("Einfassung Vario, 600-1.020 mm, stucco",Sprachindex!A:Z,Info!$O$6,FALSE)</f>
        <v>Einfassung Vario, 600-1.020 mm, stucco</v>
      </c>
      <c r="F50" s="262"/>
      <c r="G50" s="262"/>
      <c r="H50" s="262"/>
      <c r="I50" s="262"/>
      <c r="J50" s="262"/>
      <c r="K50" s="263"/>
      <c r="L50" s="96" t="str">
        <f>IF($A50=0,"",IF($J50=Formeln!$A$27," ",IF($N$11=1,P50,Q50)))</f>
        <v/>
      </c>
      <c r="M50" s="97"/>
      <c r="P50" s="191"/>
      <c r="Q50" s="191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f>IF(AND($N$9=2,$N$21=1),T51,IF(AND($N$9=2,$N$21=4),U51,IF(AND($N$9=2,$N$21=5),V51,IF(AND($N$9=2,$N$21=11),W51,IF(AND($N$9=2,$N$21=7),X51,IF(AND($N$9=2,$N$21=3),Y51,IF(AND($N$9=2,$N$21=6),Z51,IF(AND($N$9=2,$N$21=9),AA51,IF(AND($N$9=2,$N$21=2),AB51,IF(AND($N$9=2,$N$21=8),AC51,IF(AND($N$9=1,$N$21=1),AD51,IF(AND($N$9=1,$N$21=1),AD51,IF(AND($N$9=1,$N$21=4),AE51,IF(AND($N$9=1,$N$21=5),AF51,IF(AND($N$9=1,$N$21=11),AG51,IF(AND($N$9=1,$N$21=7),AH51,IF(AND($N$9=1,$N$21=3),AI51,IF(AND($N$9=1,$N$21=6),AJ51,IF(AND($N$9=1,$N$21=9),AK51,IF(AND($N$9=1,$N$21=2),AL51,IF(AND($N$9=1,$N$21=8),AM51,0)))))))))))))))))))))</f>
        <v>0</v>
      </c>
      <c r="E51" s="261" t="str">
        <f>VLOOKUP("Dachausstiegsluke, 600x600mm",Sprachindex!A:Z,Info!$O$6,FALSE)</f>
        <v>Dachausstiegsluke, 600x600mm</v>
      </c>
      <c r="F51" s="262"/>
      <c r="G51" s="262"/>
      <c r="H51" s="262"/>
      <c r="I51" s="262"/>
      <c r="J51" s="262"/>
      <c r="K51" s="263"/>
      <c r="L51" s="96" t="str">
        <f t="shared" si="0"/>
        <v/>
      </c>
      <c r="M51" s="97"/>
      <c r="P51" s="191" t="str">
        <f>ROUNDUP($A51,0) &amp;" " &amp; Formeln!$A$111</f>
        <v>0 STK</v>
      </c>
      <c r="Q51" s="191" t="str">
        <f>ROUNDUP($A51,0) &amp;" " &amp; Formeln!$A$111</f>
        <v>0 STK</v>
      </c>
      <c r="T51" s="46">
        <v>110020</v>
      </c>
      <c r="U51" s="46">
        <v>110021</v>
      </c>
      <c r="V51" s="46">
        <v>110022</v>
      </c>
      <c r="W51" s="46">
        <v>110023</v>
      </c>
      <c r="X51" s="46">
        <v>110024</v>
      </c>
      <c r="Y51" s="46">
        <v>110025</v>
      </c>
      <c r="Z51" s="46">
        <v>110026</v>
      </c>
      <c r="AA51" s="46">
        <v>110027</v>
      </c>
      <c r="AB51" s="46">
        <v>110028</v>
      </c>
      <c r="AC51" s="46"/>
      <c r="AD51" s="46">
        <v>110030</v>
      </c>
      <c r="AE51" s="46">
        <v>110031</v>
      </c>
      <c r="AF51" s="46">
        <v>110032</v>
      </c>
      <c r="AG51" s="46">
        <v>110033</v>
      </c>
      <c r="AH51" s="46">
        <v>110034</v>
      </c>
      <c r="AI51" s="46">
        <v>110035</v>
      </c>
      <c r="AJ51" s="46">
        <v>110036</v>
      </c>
      <c r="AK51" s="46">
        <v>110037</v>
      </c>
      <c r="AL51" s="46">
        <v>110038</v>
      </c>
      <c r="AM51" s="46">
        <v>110039</v>
      </c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f>IF(J52=Formeln!$A$28,AN52,IF(J52=Formeln!$A$29,BI52,IF(J52=Formeln!$A$30,CD52,IF(J52=Formeln!$A$31,CY52,IF(J52=Formeln!$A$32,DT52,IF(J52=Formeln!$A$33,EO52,IF(J52=Formeln!$A$34,FJ52,IF(J52=Formeln!$A$35,GE52,IF(J52=Formeln!$A$36,GZ52,IF(J52=Formeln!$A$37,HU52,IF(J52=Formeln!$A$38,IP52,IF(J52=Formeln!$A$39,JK52,IF(J52=Formeln!$A$40,KF52,IF(J52=Formeln!$A$41,LA52,IF(J52=Formeln!$A$42,LV52,IF(J52=Formeln!$A$43,MQ52,IF(J52=Formeln!$A$44,NL52,IF(J52=Formeln!$A$45,OG52,IF(J52=Formeln!$A$46,PB52,IF(J52=Formeln!$A$47,PW52,IF(J52=Formeln!$A$48,QR52,0)))))))))))))))))))))</f>
        <v>0</v>
      </c>
      <c r="E52" s="250" t="str">
        <f>VLOOKUP("VELUX Einfassung",Sprachindex!A:Z,Info!$O$6,FALSE)</f>
        <v>VELUX Einfassung</v>
      </c>
      <c r="F52" s="251"/>
      <c r="G52" s="251"/>
      <c r="H52" s="251"/>
      <c r="I52" s="101" t="str">
        <f>VLOOKUP("Maße:",Sprachindex!A:Z,Info!$O$6,FALSE)</f>
        <v>Maße:</v>
      </c>
      <c r="J52" s="252"/>
      <c r="K52" s="253"/>
      <c r="L52" s="96" t="str">
        <f>IF($A52=0,"",IF($J52=Formeln!$A$27," ",IF($N$11=1,P52,Q52)))</f>
        <v/>
      </c>
      <c r="M52" s="97"/>
      <c r="P52" s="191" t="str">
        <f>ROUNDUP($A52,0) &amp;" " &amp; Formeln!$A$111</f>
        <v>0 STK</v>
      </c>
      <c r="Q52" s="191" t="str">
        <f>ROUNDUP($A52,0) &amp;" " &amp; Formeln!$A$111</f>
        <v>0 STK</v>
      </c>
      <c r="T52" s="46"/>
      <c r="U52" s="50"/>
      <c r="V52" s="50"/>
      <c r="W52" s="50"/>
      <c r="X52" s="50"/>
      <c r="Y52" s="50"/>
      <c r="Z52" s="50"/>
      <c r="AA52" s="50"/>
      <c r="AB52" s="50"/>
      <c r="AD52" s="50">
        <v>111100</v>
      </c>
      <c r="AE52" s="50">
        <v>111101</v>
      </c>
      <c r="AF52" s="50">
        <v>111102</v>
      </c>
      <c r="AG52" s="50">
        <v>111103</v>
      </c>
      <c r="AH52" s="50">
        <v>111104</v>
      </c>
      <c r="AI52" s="50">
        <v>111105</v>
      </c>
      <c r="AJ52" s="50">
        <v>111106</v>
      </c>
      <c r="AK52" s="50">
        <v>111107</v>
      </c>
      <c r="AL52" s="50">
        <v>111108</v>
      </c>
      <c r="AM52" s="229">
        <v>111109</v>
      </c>
      <c r="AN52" s="52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AO52" s="51"/>
      <c r="AP52" s="50"/>
      <c r="AQ52" s="50"/>
      <c r="AR52" s="50"/>
      <c r="AS52" s="50"/>
      <c r="AT52" s="50"/>
      <c r="AU52" s="50"/>
      <c r="AV52" s="50"/>
      <c r="AW52" s="50"/>
      <c r="AY52" s="50">
        <v>111100</v>
      </c>
      <c r="AZ52" s="50">
        <v>111101</v>
      </c>
      <c r="BA52" s="50">
        <v>111102</v>
      </c>
      <c r="BB52" s="50">
        <v>111103</v>
      </c>
      <c r="BC52" s="50">
        <v>111104</v>
      </c>
      <c r="BD52" s="50">
        <v>111105</v>
      </c>
      <c r="BE52" s="50">
        <v>111106</v>
      </c>
      <c r="BF52" s="50">
        <v>111107</v>
      </c>
      <c r="BG52" s="50">
        <v>111108</v>
      </c>
      <c r="BH52" s="229">
        <v>111109</v>
      </c>
      <c r="BI52" s="52">
        <f>IF(AND($N$9=2,$N$21=1),AO52,IF(AND($N$9=2,$N$21=4),AP52,IF(AND($N$9=2,$N$21=5),AQ52,IF(AND($N$9=2,$N$21=11),AR52,IF(AND($N$9=2,$N$21=7),AS52,IF(AND($N$9=2,$N$21=3),AT52,IF(AND($N$9=2,$N$21=6),AU52,IF(AND($N$9=2,$N$21=9),AV52,IF(AND($N$9=2,$N$21=2),AW52,IF(AND($N$9=2,$N$21=8),AX52,IF(AND($N$9=1,$N$21=1),AY52,IF(AND($N$9=1,$N$21=1),AY52,IF(AND($N$9=1,$N$21=4),AZ52,IF(AND($N$9=1,$N$21=5),BA52,IF(AND($N$9=1,$N$21=11),BB52,IF(AND($N$9=1,$N$21=7),BC52,IF(AND($N$9=1,$N$21=3),BD52,IF(AND($N$9=1,$N$21=6),BE52,IF(AND($N$9=1,$N$21=9),BF52,IF(AND($N$9=1,$N$21=2),BG52,IF(AND($N$9=1,$N$21=8),BH52,0)))))))))))))))))))))</f>
        <v>0</v>
      </c>
      <c r="BJ52" s="51"/>
      <c r="BK52" s="50"/>
      <c r="BL52" s="50"/>
      <c r="BM52" s="50"/>
      <c r="BN52" s="50"/>
      <c r="BO52" s="50"/>
      <c r="BP52" s="50"/>
      <c r="BQ52" s="50"/>
      <c r="BR52" s="50"/>
      <c r="BT52" s="50">
        <v>111100</v>
      </c>
      <c r="BU52" s="50">
        <v>111101</v>
      </c>
      <c r="BV52" s="50">
        <v>111102</v>
      </c>
      <c r="BW52" s="50">
        <v>111103</v>
      </c>
      <c r="BX52" s="50">
        <v>111104</v>
      </c>
      <c r="BY52" s="50">
        <v>111105</v>
      </c>
      <c r="BZ52" s="50">
        <v>111106</v>
      </c>
      <c r="CA52" s="50">
        <v>111107</v>
      </c>
      <c r="CB52" s="50">
        <v>111108</v>
      </c>
      <c r="CC52" s="229">
        <v>111109</v>
      </c>
      <c r="CD52" s="52">
        <f>IF(AND($N$9=2,$N$21=1),BJ52,IF(AND($N$9=2,$N$21=4),BK52,IF(AND($N$9=2,$N$21=5),BL52,IF(AND($N$9=2,$N$21=11),BM52,IF(AND($N$9=2,$N$21=7),BN52,IF(AND($N$9=2,$N$21=3),BO52,IF(AND($N$9=2,$N$21=6),BP52,IF(AND($N$9=2,$N$21=9),BQ52,IF(AND($N$9=2,$N$21=2),BR52,IF(AND($N$9=2,$N$21=8),BS52,IF(AND($N$9=1,$N$21=1),BT52,IF(AND($N$9=1,$N$21=1),BT52,IF(AND($N$9=1,$N$21=4),BU52,IF(AND($N$9=1,$N$21=5),BV52,IF(AND($N$9=1,$N$21=11),BW52,IF(AND($N$9=1,$N$21=7),BX52,IF(AND($N$9=1,$N$21=3),BY52,IF(AND($N$9=1,$N$21=6),BZ52,IF(AND($N$9=1,$N$21=9),CA52,IF(AND($N$9=1,$N$21=2),CB52,IF(AND($N$9=1,$N$21=8),CC52,0)))))))))))))))))))))</f>
        <v>0</v>
      </c>
      <c r="CE52" s="51"/>
      <c r="CF52" s="46"/>
      <c r="CG52" s="46"/>
      <c r="CH52" s="46"/>
      <c r="CI52" s="46"/>
      <c r="CJ52" s="46"/>
      <c r="CK52" s="46"/>
      <c r="CL52" s="46"/>
      <c r="CM52" s="46"/>
      <c r="CO52" s="46">
        <v>111120</v>
      </c>
      <c r="CP52" s="46">
        <v>111121</v>
      </c>
      <c r="CQ52" s="46">
        <v>111122</v>
      </c>
      <c r="CR52" s="46">
        <v>111123</v>
      </c>
      <c r="CS52" s="46">
        <v>111124</v>
      </c>
      <c r="CT52" s="46">
        <v>111125</v>
      </c>
      <c r="CU52" s="46">
        <v>111126</v>
      </c>
      <c r="CV52" s="46">
        <v>111127</v>
      </c>
      <c r="CW52" s="46">
        <v>111128</v>
      </c>
      <c r="CX52" s="229">
        <v>111129</v>
      </c>
      <c r="CY52" s="52">
        <f>IF(AND($N$9=2,$N$21=1),CE52,IF(AND($N$9=2,$N$21=4),CF52,IF(AND($N$9=2,$N$21=5),CG52,IF(AND($N$9=2,$N$21=11),CH52,IF(AND($N$9=2,$N$21=7),CI52,IF(AND($N$9=2,$N$21=3),CJ52,IF(AND($N$9=2,$N$21=6),CK52,IF(AND($N$9=2,$N$21=9),CL52,IF(AND($N$9=2,$N$21=2),CM52,IF(AND($N$9=2,$N$21=8),CN52,IF(AND($N$9=1,$N$21=1),CO52,IF(AND($N$9=1,$N$21=1),CO52,IF(AND($N$9=1,$N$21=4),CP52,IF(AND($N$9=1,$N$21=5),CQ52,IF(AND($N$9=1,$N$21=11),CR52,IF(AND($N$9=1,$N$21=7),CS52,IF(AND($N$9=1,$N$21=3),CT52,IF(AND($N$9=1,$N$21=6),CU52,IF(AND($N$9=1,$N$21=9),CV52,IF(AND($N$9=1,$N$21=2),CW52,IF(AND($N$9=1,$N$21=8),CX52,0)))))))))))))))))))))</f>
        <v>0</v>
      </c>
      <c r="CZ52" s="51"/>
      <c r="DA52" s="46"/>
      <c r="DB52" s="46"/>
      <c r="DC52" s="46"/>
      <c r="DD52" s="46"/>
      <c r="DE52" s="46"/>
      <c r="DF52" s="46"/>
      <c r="DG52" s="46"/>
      <c r="DH52" s="46"/>
      <c r="DJ52" s="46">
        <v>111120</v>
      </c>
      <c r="DK52" s="46">
        <v>111121</v>
      </c>
      <c r="DL52" s="46">
        <v>111122</v>
      </c>
      <c r="DM52" s="46">
        <v>111123</v>
      </c>
      <c r="DN52" s="46">
        <v>111124</v>
      </c>
      <c r="DO52" s="46">
        <v>111125</v>
      </c>
      <c r="DP52" s="46">
        <v>111126</v>
      </c>
      <c r="DQ52" s="46">
        <v>111127</v>
      </c>
      <c r="DR52" s="46">
        <v>111128</v>
      </c>
      <c r="DS52" s="229">
        <v>111129</v>
      </c>
      <c r="DT52" s="52">
        <f>IF(AND($N$9=2,$N$21=1),CZ52,IF(AND($N$9=2,$N$21=4),DA52,IF(AND($N$9=2,$N$21=5),DB52,IF(AND($N$9=2,$N$21=11),DC52,IF(AND($N$9=2,$N$21=7),DD52,IF(AND($N$9=2,$N$21=3),DE52,IF(AND($N$9=2,$N$21=6),DF52,IF(AND($N$9=2,$N$21=9),DG52,IF(AND($N$9=2,$N$21=2),DH52,IF(AND($N$9=2,$N$21=8),DI52,IF(AND($N$9=1,$N$21=1),DJ52,IF(AND($N$9=1,$N$21=1),DJ52,IF(AND($N$9=1,$N$21=4),DK52,IF(AND($N$9=1,$N$21=5),DL52,IF(AND($N$9=1,$N$21=11),DM52,IF(AND($N$9=1,$N$21=7),DN52,IF(AND($N$9=1,$N$21=3),DO52,IF(AND($N$9=1,$N$21=6),DP52,IF(AND($N$9=1,$N$21=9),DQ52,IF(AND($N$9=1,$N$21=2),DR52,IF(AND($N$9=1,$N$21=8),DS52,0)))))))))))))))))))))</f>
        <v>0</v>
      </c>
      <c r="DU52" s="51"/>
      <c r="DV52" s="46"/>
      <c r="DW52" s="46"/>
      <c r="DX52" s="46"/>
      <c r="DY52" s="46"/>
      <c r="DZ52" s="46"/>
      <c r="EA52" s="46"/>
      <c r="EB52" s="46"/>
      <c r="EC52" s="46"/>
      <c r="EE52" s="46">
        <v>111120</v>
      </c>
      <c r="EF52" s="46">
        <v>111121</v>
      </c>
      <c r="EG52" s="46">
        <v>111122</v>
      </c>
      <c r="EH52" s="46">
        <v>111123</v>
      </c>
      <c r="EI52" s="46">
        <v>111124</v>
      </c>
      <c r="EJ52" s="46">
        <v>111125</v>
      </c>
      <c r="EK52" s="46">
        <v>111126</v>
      </c>
      <c r="EL52" s="46">
        <v>111127</v>
      </c>
      <c r="EM52" s="46">
        <v>111128</v>
      </c>
      <c r="EN52" s="229">
        <v>111129</v>
      </c>
      <c r="EO52" s="52">
        <f>IF(AND($N$9=2,$N$21=1),DU52,IF(AND($N$9=2,$N$21=4),DV52,IF(AND($N$9=2,$N$21=5),DW52,IF(AND($N$9=2,$N$21=11),DX52,IF(AND($N$9=2,$N$21=7),DY52,IF(AND($N$9=2,$N$21=3),DZ52,IF(AND($N$9=2,$N$21=6),EA52,IF(AND($N$9=2,$N$21=9),EB52,IF(AND($N$9=2,$N$21=2),EC52,IF(AND($N$9=2,$N$21=8),ED52,IF(AND($N$9=1,$N$21=1),EE52,IF(AND($N$9=1,$N$21=1),EE52,IF(AND($N$9=1,$N$21=4),EF52,IF(AND($N$9=1,$N$21=5),EG52,IF(AND($N$9=1,$N$21=11),EH52,IF(AND($N$9=1,$N$21=7),EI52,IF(AND($N$9=1,$N$21=3),EJ52,IF(AND($N$9=1,$N$21=6),EK52,IF(AND($N$9=1,$N$21=9),EL52,IF(AND($N$9=1,$N$21=2),EM52,IF(AND($N$9=1,$N$21=8),EN52,0)))))))))))))))))))))</f>
        <v>0</v>
      </c>
      <c r="EP52" s="51">
        <v>111170</v>
      </c>
      <c r="EQ52" s="46"/>
      <c r="ER52" s="46"/>
      <c r="ES52" s="46"/>
      <c r="ET52" s="46"/>
      <c r="EU52" s="46"/>
      <c r="EV52" s="46"/>
      <c r="EW52" s="46"/>
      <c r="EX52" s="46"/>
      <c r="EZ52" s="46">
        <v>111160</v>
      </c>
      <c r="FA52" s="46">
        <v>111161</v>
      </c>
      <c r="FB52" s="46">
        <v>111162</v>
      </c>
      <c r="FC52" s="46">
        <v>111163</v>
      </c>
      <c r="FD52" s="46">
        <v>111164</v>
      </c>
      <c r="FE52" s="46">
        <v>111165</v>
      </c>
      <c r="FF52" s="46">
        <v>111166</v>
      </c>
      <c r="FG52" s="46">
        <v>111167</v>
      </c>
      <c r="FH52" s="46">
        <v>111168</v>
      </c>
      <c r="FI52" s="229">
        <v>111169</v>
      </c>
      <c r="FJ52" s="52">
        <f>IF(AND($N$9=2,$N$21=1),EP52,IF(AND($N$9=2,$N$21=4),EQ52,IF(AND($N$9=2,$N$21=5),ER52,IF(AND($N$9=2,$N$21=11),ES52,IF(AND($N$9=2,$N$21=7),ET52,IF(AND($N$9=2,$N$21=3),EU52,IF(AND($N$9=2,$N$21=6),EV52,IF(AND($N$9=2,$N$21=9),EW52,IF(AND($N$9=2,$N$21=2),EX52,IF(AND($N$9=2,$N$21=8),EY52,IF(AND($N$9=1,$N$21=1),EZ52,IF(AND($N$9=1,$N$21=1),EZ52,IF(AND($N$9=1,$N$21=4),FA52,IF(AND($N$9=1,$N$21=5),FB52,IF(AND($N$9=1,$N$21=11),FC52,IF(AND($N$9=1,$N$21=7),FD52,IF(AND($N$9=1,$N$21=3),FE52,IF(AND($N$9=1,$N$21=6),FF52,IF(AND($N$9=1,$N$21=9),FG52,IF(AND($N$9=1,$N$21=2),FH52,IF(AND($N$9=1,$N$21=8),FI52,0)))))))))))))))))))))</f>
        <v>0</v>
      </c>
      <c r="FK52" s="51"/>
      <c r="FL52" s="46"/>
      <c r="FM52" s="46"/>
      <c r="FN52" s="46"/>
      <c r="FO52" s="46"/>
      <c r="FP52" s="46"/>
      <c r="FQ52" s="46"/>
      <c r="FR52" s="46"/>
      <c r="FS52" s="46"/>
      <c r="FU52" s="46">
        <v>111160</v>
      </c>
      <c r="FV52" s="46">
        <v>111161</v>
      </c>
      <c r="FW52" s="46">
        <v>111162</v>
      </c>
      <c r="FX52" s="46">
        <v>111163</v>
      </c>
      <c r="FY52" s="46">
        <v>111164</v>
      </c>
      <c r="FZ52" s="46">
        <v>111165</v>
      </c>
      <c r="GA52" s="46">
        <v>111166</v>
      </c>
      <c r="GB52" s="46">
        <v>111167</v>
      </c>
      <c r="GC52" s="46">
        <v>111168</v>
      </c>
      <c r="GD52" s="229">
        <v>111169</v>
      </c>
      <c r="GE52" s="52">
        <f>IF(AND($N$9=2,$N$21=1),FK52,IF(AND($N$9=2,$N$21=4),FL52,IF(AND($N$9=2,$N$21=5),FM52,IF(AND($N$9=2,$N$21=11),FN52,IF(AND($N$9=2,$N$21=7),FO52,IF(AND($N$9=2,$N$21=3),FP52,IF(AND($N$9=2,$N$21=6),FQ52,IF(AND($N$9=2,$N$21=9),FR52,IF(AND($N$9=2,$N$21=2),FS52,IF(AND($N$9=2,$N$21=8),FT52,IF(AND($N$9=1,$N$21=1),FU52,IF(AND($N$9=1,$N$21=1),FU52,IF(AND($N$9=1,$N$21=4),FV52,IF(AND($N$9=1,$N$21=5),FW52,IF(AND($N$9=1,$N$21=11),FX52,IF(AND($N$9=1,$N$21=7),FY52,IF(AND($N$9=1,$N$21=3),FZ52,IF(AND($N$9=1,$N$21=6),GA52,IF(AND($N$9=1,$N$21=9),GB52,IF(AND($N$9=1,$N$21=2),GC52,IF(AND($N$9=1,$N$21=8),GD52,0)))))))))))))))))))))</f>
        <v>0</v>
      </c>
      <c r="GF52" s="51"/>
      <c r="GG52" s="46"/>
      <c r="GH52" s="46"/>
      <c r="GI52" s="46"/>
      <c r="GJ52" s="46"/>
      <c r="GK52" s="46"/>
      <c r="GL52" s="46"/>
      <c r="GM52" s="46"/>
      <c r="GN52" s="46"/>
      <c r="GP52" s="46">
        <v>111160</v>
      </c>
      <c r="GQ52" s="46">
        <v>111161</v>
      </c>
      <c r="GR52" s="46">
        <v>111162</v>
      </c>
      <c r="GS52" s="46">
        <v>111163</v>
      </c>
      <c r="GT52" s="46">
        <v>111164</v>
      </c>
      <c r="GU52" s="46">
        <v>111165</v>
      </c>
      <c r="GV52" s="46">
        <v>111166</v>
      </c>
      <c r="GW52" s="46">
        <v>111167</v>
      </c>
      <c r="GX52" s="46">
        <v>111168</v>
      </c>
      <c r="GY52" s="230">
        <v>111169</v>
      </c>
      <c r="GZ52" s="52">
        <f>IF(AND($N$9=2,$N$21=1),GF52,IF(AND($N$9=2,$N$21=4),GG52,IF(AND($N$9=2,$N$21=5),GH52,IF(AND($N$9=2,$N$21=11),GI52,IF(AND($N$9=2,$N$21=7),GJ52,IF(AND($N$9=2,$N$21=3),GK52,IF(AND($N$9=2,$N$21=6),GL52,IF(AND($N$9=2,$N$21=9),GM52,IF(AND($N$9=2,$N$21=2),GN52,IF(AND($N$9=2,$N$21=8),GO52,IF(AND($N$9=1,$N$21=1),GP52,IF(AND($N$9=1,$N$21=1),GP52,IF(AND($N$9=1,$N$21=4),GQ52,IF(AND($N$9=1,$N$21=5),GR52,IF(AND($N$9=1,$N$21=11),GS52,IF(AND($N$9=1,$N$21=7),GT52,IF(AND($N$9=1,$N$21=3),GU52,IF(AND($N$9=1,$N$21=6),GV52,IF(AND($N$9=1,$N$21=9),GW52,IF(AND($N$9=1,$N$21=2),GX52,IF(AND($N$9=1,$N$21=8),GY52,0)))))))))))))))))))))</f>
        <v>0</v>
      </c>
      <c r="HA52" s="51"/>
      <c r="HB52" s="46"/>
      <c r="HC52" s="46"/>
      <c r="HD52" s="46"/>
      <c r="HE52" s="46"/>
      <c r="HF52" s="46"/>
      <c r="HG52" s="46"/>
      <c r="HH52" s="46"/>
      <c r="HI52" s="46"/>
      <c r="HK52" s="46">
        <v>111280</v>
      </c>
      <c r="HL52" s="46">
        <v>111281</v>
      </c>
      <c r="HM52" s="46">
        <v>111282</v>
      </c>
      <c r="HN52" s="46">
        <v>111283</v>
      </c>
      <c r="HO52" s="46">
        <v>111284</v>
      </c>
      <c r="HP52" s="46">
        <v>111285</v>
      </c>
      <c r="HQ52" s="46">
        <v>111286</v>
      </c>
      <c r="HR52" s="46">
        <v>111287</v>
      </c>
      <c r="HS52" s="46">
        <v>111288</v>
      </c>
      <c r="HT52" s="230">
        <v>111289</v>
      </c>
      <c r="HU52" s="52">
        <f>IF(AND($N$9=2,$N$21=1),HA52,IF(AND($N$9=2,$N$21=4),HB52,IF(AND($N$9=2,$N$21=5),HC52,IF(AND($N$9=2,$N$21=11),HD52,IF(AND($N$9=2,$N$21=7),HE52,IF(AND($N$9=2,$N$21=3),HF52,IF(AND($N$9=2,$N$21=6),HG52,IF(AND($N$9=2,$N$21=9),HH52,IF(AND($N$9=2,$N$21=2),HI52,IF(AND($N$9=2,$N$21=8),HJ52,IF(AND($N$9=1,$N$21=1),HK52,IF(AND($N$9=1,$N$21=1),HK52,IF(AND($N$9=1,$N$21=4),HL52,IF(AND($N$9=1,$N$21=5),HM52,IF(AND($N$9=1,$N$21=11),HN52,IF(AND($N$9=1,$N$21=7),HO52,IF(AND($N$9=1,$N$21=3),HP52,IF(AND($N$9=1,$N$21=6),HQ52,IF(AND($N$9=1,$N$21=9),HR52,IF(AND($N$9=1,$N$21=2),HS52,IF(AND($N$9=1,$N$21=8),HT52,0)))))))))))))))))))))</f>
        <v>0</v>
      </c>
      <c r="HV52" s="51"/>
      <c r="HW52" s="46"/>
      <c r="HX52" s="46"/>
      <c r="HY52" s="46"/>
      <c r="HZ52" s="46"/>
      <c r="IA52" s="46"/>
      <c r="IB52" s="46"/>
      <c r="IC52" s="46"/>
      <c r="ID52" s="46"/>
      <c r="IF52" s="46">
        <v>111280</v>
      </c>
      <c r="IG52" s="46">
        <v>111281</v>
      </c>
      <c r="IH52" s="46">
        <v>111282</v>
      </c>
      <c r="II52" s="46">
        <v>111283</v>
      </c>
      <c r="IJ52" s="46">
        <v>111284</v>
      </c>
      <c r="IK52" s="46">
        <v>111285</v>
      </c>
      <c r="IL52" s="46">
        <v>111286</v>
      </c>
      <c r="IM52" s="46">
        <v>111287</v>
      </c>
      <c r="IN52" s="46">
        <v>111288</v>
      </c>
      <c r="IO52" s="230">
        <v>111289</v>
      </c>
      <c r="IP52" s="52">
        <f>IF(AND($N$9=2,$N$21=1),HV52,IF(AND($N$9=2,$N$21=4),HW52,IF(AND($N$9=2,$N$21=5),HX52,IF(AND($N$9=2,$N$21=11),HY52,IF(AND($N$9=2,$N$21=7),HZ52,IF(AND($N$9=2,$N$21=3),IA52,IF(AND($N$9=2,$N$21=6),IB52,IF(AND($N$9=2,$N$21=9),IC52,IF(AND($N$9=2,$N$21=2),ID52,IF(AND($N$9=2,$N$21=8),IE52,IF(AND($N$9=1,$N$21=1),IF52,IF(AND($N$9=1,$N$21=1),IF52,IF(AND($N$9=1,$N$21=4),IG52,IF(AND($N$9=1,$N$21=5),IH52,IF(AND($N$9=1,$N$21=11),II52,IF(AND($N$9=1,$N$21=7),IJ52,IF(AND($N$9=1,$N$21=3),IK52,IF(AND($N$9=1,$N$21=6),IL52,IF(AND($N$9=1,$N$21=9),IM52,IF(AND($N$9=1,$N$21=2),IN52,IF(AND($N$9=1,$N$21=8),IO52,0)))))))))))))))))))))</f>
        <v>0</v>
      </c>
      <c r="IQ52" s="51"/>
      <c r="IR52" s="46"/>
      <c r="IS52" s="46"/>
      <c r="IT52" s="46"/>
      <c r="IU52" s="46"/>
      <c r="IV52" s="46"/>
      <c r="IW52" s="46"/>
      <c r="IX52" s="46"/>
      <c r="IY52" s="46"/>
      <c r="JA52" s="46">
        <v>111180</v>
      </c>
      <c r="JB52" s="46">
        <v>111181</v>
      </c>
      <c r="JC52" s="46">
        <v>111182</v>
      </c>
      <c r="JD52" s="46">
        <v>111183</v>
      </c>
      <c r="JE52" s="46">
        <v>111184</v>
      </c>
      <c r="JF52" s="46">
        <v>111185</v>
      </c>
      <c r="JG52" s="46">
        <v>111186</v>
      </c>
      <c r="JH52" s="46">
        <v>111187</v>
      </c>
      <c r="JI52" s="46">
        <v>111188</v>
      </c>
      <c r="JJ52" s="230">
        <v>111189</v>
      </c>
      <c r="JK52" s="52">
        <f>IF(AND($N$9=2,$N$21=1),IQ52,IF(AND($N$9=2,$N$21=4),IR52,IF(AND($N$9=2,$N$21=5),IS52,IF(AND($N$9=2,$N$21=11),IT52,IF(AND($N$9=2,$N$21=7),IU52,IF(AND($N$9=2,$N$21=3),IV52,IF(AND($N$9=2,$N$21=6),IW52,IF(AND($N$9=2,$N$21=9),IX52,IF(AND($N$9=2,$N$21=2),IY52,IF(AND($N$9=2,$N$21=8),IZ52,IF(AND($N$9=1,$N$21=1),JA52,IF(AND($N$9=1,$N$21=1),JA52,IF(AND($N$9=1,$N$21=4),JB52,IF(AND($N$9=1,$N$21=5),JC52,IF(AND($N$9=1,$N$21=11),JD52,IF(AND($N$9=1,$N$21=7),JE52,IF(AND($N$9=1,$N$21=3),JF52,IF(AND($N$9=1,$N$21=6),JG52,IF(AND($N$9=1,$N$21=9),JH52,IF(AND($N$9=1,$N$21=2),JI52,IF(AND($N$9=1,$N$21=8),JJ52,0)))))))))))))))))))))</f>
        <v>0</v>
      </c>
      <c r="JL52" s="51"/>
      <c r="JM52" s="46"/>
      <c r="JN52" s="46"/>
      <c r="JO52" s="46"/>
      <c r="JP52" s="46"/>
      <c r="JQ52" s="46"/>
      <c r="JR52" s="46"/>
      <c r="JS52" s="46"/>
      <c r="JT52" s="46"/>
      <c r="JV52" s="46">
        <v>111180</v>
      </c>
      <c r="JW52" s="46">
        <v>111181</v>
      </c>
      <c r="JX52" s="46">
        <v>111182</v>
      </c>
      <c r="JY52" s="46">
        <v>111183</v>
      </c>
      <c r="JZ52" s="46">
        <v>111184</v>
      </c>
      <c r="KA52" s="46">
        <v>111185</v>
      </c>
      <c r="KB52" s="46">
        <v>111186</v>
      </c>
      <c r="KC52" s="46">
        <v>111187</v>
      </c>
      <c r="KD52" s="46">
        <v>111188</v>
      </c>
      <c r="KE52" s="230">
        <v>111189</v>
      </c>
      <c r="KF52" s="52">
        <f>IF(AND($N$9=2,$N$21=1),JL52,IF(AND($N$9=2,$N$21=4),JM52,IF(AND($N$9=2,$N$21=5),JN52,IF(AND($N$9=2,$N$21=11),JO52,IF(AND($N$9=2,$N$21=7),JP52,IF(AND($N$9=2,$N$21=3),JQ52,IF(AND($N$9=2,$N$21=6),JR52,IF(AND($N$9=2,$N$21=9),JS52,IF(AND($N$9=2,$N$21=2),JT52,IF(AND($N$9=2,$N$21=8),JU52,IF(AND($N$9=1,$N$21=1),JV52,IF(AND($N$9=1,$N$21=1),JV52,IF(AND($N$9=1,$N$21=4),JW52,IF(AND($N$9=1,$N$21=5),JX52,IF(AND($N$9=1,$N$21=11),JY52,IF(AND($N$9=1,$N$21=7),JZ52,IF(AND($N$9=1,$N$21=3),KA52,IF(AND($N$9=1,$N$21=6),KB52,IF(AND($N$9=1,$N$21=9),KC52,IF(AND($N$9=1,$N$21=2),KD52,IF(AND($N$9=1,$N$21=8),KE52,0)))))))))))))))))))))</f>
        <v>0</v>
      </c>
      <c r="KG52" s="51"/>
      <c r="KH52" s="46"/>
      <c r="KI52" s="46"/>
      <c r="KJ52" s="46"/>
      <c r="KK52" s="46"/>
      <c r="KL52" s="46"/>
      <c r="KM52" s="46"/>
      <c r="KN52" s="46"/>
      <c r="KO52" s="46"/>
      <c r="KQ52" s="46">
        <v>111180</v>
      </c>
      <c r="KR52" s="46">
        <v>111181</v>
      </c>
      <c r="KS52" s="46">
        <v>111182</v>
      </c>
      <c r="KT52" s="46">
        <v>111183</v>
      </c>
      <c r="KU52" s="46">
        <v>111184</v>
      </c>
      <c r="KV52" s="46">
        <v>111185</v>
      </c>
      <c r="KW52" s="46">
        <v>111186</v>
      </c>
      <c r="KX52" s="46">
        <v>111187</v>
      </c>
      <c r="KY52" s="46">
        <v>111188</v>
      </c>
      <c r="KZ52" s="230">
        <v>111189</v>
      </c>
      <c r="LA52" s="52">
        <f>IF(AND($N$9=2,$N$21=1),KG52,IF(AND($N$9=2,$N$21=4),KH52,IF(AND($N$9=2,$N$21=5),KI52,IF(AND($N$9=2,$N$21=11),KJ52,IF(AND($N$9=2,$N$21=7),KK52,IF(AND($N$9=2,$N$21=3),KL52,IF(AND($N$9=2,$N$21=6),KM52,IF(AND($N$9=2,$N$21=9),KN52,IF(AND($N$9=2,$N$21=2),KO52,IF(AND($N$9=2,$N$21=8),KP52,IF(AND($N$9=1,$N$21=1),KQ52,IF(AND($N$9=1,$N$21=1),KQ52,IF(AND($N$9=1,$N$21=4),KR52,IF(AND($N$9=1,$N$21=5),KS52,IF(AND($N$9=1,$N$21=11),KT52,IF(AND($N$9=1,$N$21=7),KU52,IF(AND($N$9=1,$N$21=3),KV52,IF(AND($N$9=1,$N$21=6),KW52,IF(AND($N$9=1,$N$21=9),KX52,IF(AND($N$9=1,$N$21=2),KY52,IF(AND($N$9=1,$N$21=8),KZ52,0)))))))))))))))))))))</f>
        <v>0</v>
      </c>
      <c r="LB52" s="51"/>
      <c r="LC52" s="46"/>
      <c r="LD52" s="46"/>
      <c r="LE52" s="46"/>
      <c r="LF52" s="46"/>
      <c r="LG52" s="46"/>
      <c r="LH52" s="46"/>
      <c r="LI52" s="46"/>
      <c r="LJ52" s="46"/>
      <c r="LL52" s="46">
        <v>111200</v>
      </c>
      <c r="LM52" s="46">
        <v>111201</v>
      </c>
      <c r="LN52" s="46">
        <v>111202</v>
      </c>
      <c r="LO52" s="46">
        <v>111203</v>
      </c>
      <c r="LP52" s="46">
        <v>111204</v>
      </c>
      <c r="LQ52" s="46">
        <v>111205</v>
      </c>
      <c r="LR52" s="46">
        <v>111206</v>
      </c>
      <c r="LS52" s="46">
        <v>111207</v>
      </c>
      <c r="LT52" s="46">
        <v>111208</v>
      </c>
      <c r="LU52" s="230">
        <v>111209</v>
      </c>
      <c r="LV52" s="52">
        <f>IF(AND($N$9=2,$N$21=1),LB52,IF(AND($N$9=2,$N$21=4),LC52,IF(AND($N$9=2,$N$21=5),LD52,IF(AND($N$9=2,$N$21=11),LE52,IF(AND($N$9=2,$N$21=7),LF52,IF(AND($N$9=2,$N$21=3),LG52,IF(AND($N$9=2,$N$21=6),LH52,IF(AND($N$9=2,$N$21=9),LI52,IF(AND($N$9=2,$N$21=2),LJ52,IF(AND($N$9=2,$N$21=8),LK52,IF(AND($N$9=1,$N$21=1),LL52,IF(AND($N$9=1,$N$21=1),LL52,IF(AND($N$9=1,$N$21=4),LM52,IF(AND($N$9=1,$N$21=5),LN52,IF(AND($N$9=1,$N$21=11),LO52,IF(AND($N$9=1,$N$21=7),LP52,IF(AND($N$9=1,$N$21=3),LQ52,IF(AND($N$9=1,$N$21=6),LR52,IF(AND($N$9=1,$N$21=9),LS52,IF(AND($N$9=1,$N$21=2),LT52,IF(AND($N$9=1,$N$21=8),LU52,0)))))))))))))))))))))</f>
        <v>0</v>
      </c>
      <c r="LW52" s="51"/>
      <c r="LX52" s="46"/>
      <c r="LY52" s="46"/>
      <c r="LZ52" s="46"/>
      <c r="MA52" s="46"/>
      <c r="MB52" s="46"/>
      <c r="MC52" s="46"/>
      <c r="MD52" s="46"/>
      <c r="ME52" s="46"/>
      <c r="MG52" s="46">
        <v>111220</v>
      </c>
      <c r="MH52" s="46">
        <v>111221</v>
      </c>
      <c r="MI52" s="46">
        <v>111222</v>
      </c>
      <c r="MJ52" s="46">
        <v>111223</v>
      </c>
      <c r="MK52" s="46">
        <v>111224</v>
      </c>
      <c r="ML52" s="46">
        <v>111225</v>
      </c>
      <c r="MM52" s="46">
        <v>111226</v>
      </c>
      <c r="MN52" s="46">
        <v>111227</v>
      </c>
      <c r="MO52" s="46">
        <v>111228</v>
      </c>
      <c r="MP52" s="230">
        <v>111229</v>
      </c>
      <c r="MQ52" s="52">
        <f>IF(AND($N$9=2,$N$21=1),LW52,IF(AND($N$9=2,$N$21=4),LX52,IF(AND($N$9=2,$N$21=5),LY52,IF(AND($N$9=2,$N$21=11),LZ52,IF(AND($N$9=2,$N$21=7),MA52,IF(AND($N$9=2,$N$21=3),MB52,IF(AND($N$9=2,$N$21=6),MC52,IF(AND($N$9=2,$N$21=9),MD52,IF(AND($N$9=2,$N$21=2),ME52,IF(AND($N$9=2,$N$21=8),MF52,IF(AND($N$9=1,$N$21=1),MG52,IF(AND($N$9=1,$N$21=1),MG52,IF(AND($N$9=1,$N$21=4),MH52,IF(AND($N$9=1,$N$21=5),MI52,IF(AND($N$9=1,$N$21=11),MJ52,IF(AND($N$9=1,$N$21=7),MK52,IF(AND($N$9=1,$N$21=3),ML52,IF(AND($N$9=1,$N$21=6),MM52,IF(AND($N$9=1,$N$21=9),MN52,IF(AND($N$9=1,$N$21=2),MO52,IF(AND($N$9=1,$N$21=8),MP52,0)))))))))))))))))))))</f>
        <v>0</v>
      </c>
      <c r="MR52" s="51"/>
      <c r="MS52" s="46"/>
      <c r="MT52" s="46"/>
      <c r="MU52" s="46"/>
      <c r="MV52" s="46"/>
      <c r="MW52" s="46"/>
      <c r="MX52" s="46"/>
      <c r="MY52" s="46"/>
      <c r="MZ52" s="46"/>
      <c r="NB52" s="46">
        <v>111220</v>
      </c>
      <c r="NC52" s="46">
        <v>111221</v>
      </c>
      <c r="ND52" s="46">
        <v>111222</v>
      </c>
      <c r="NE52" s="46">
        <v>111223</v>
      </c>
      <c r="NF52" s="46">
        <v>111224</v>
      </c>
      <c r="NG52" s="46">
        <v>111225</v>
      </c>
      <c r="NH52" s="46">
        <v>111226</v>
      </c>
      <c r="NI52" s="46">
        <v>111227</v>
      </c>
      <c r="NJ52" s="46">
        <v>111228</v>
      </c>
      <c r="NK52" s="230">
        <v>111229</v>
      </c>
      <c r="NL52" s="52">
        <f>IF(AND($N$9=2,$N$21=1),MR52,IF(AND($N$9=2,$N$21=4),MS52,IF(AND($N$9=2,$N$21=5),MT52,IF(AND($N$9=2,$N$21=11),MU52,IF(AND($N$9=2,$N$21=7),MV52,IF(AND($N$9=2,$N$21=3),MW52,IF(AND($N$9=2,$N$21=6),MX52,IF(AND($N$9=2,$N$21=9),MY52,IF(AND($N$9=2,$N$21=2),MZ52,IF(AND($N$9=2,$N$21=8),NA52,IF(AND($N$9=1,$N$21=1),NB52,IF(AND($N$9=1,$N$21=1),NB52,IF(AND($N$9=1,$N$21=4),NC52,IF(AND($N$9=1,$N$21=5),ND52,IF(AND($N$9=1,$N$21=11),NE52,IF(AND($N$9=1,$N$21=7),NF52,IF(AND($N$9=1,$N$21=3),NG52,IF(AND($N$9=1,$N$21=6),NH52,IF(AND($N$9=1,$N$21=9),NI52,IF(AND($N$9=1,$N$21=2),NJ52,IF(AND($N$9=1,$N$21=8),NK52,0)))))))))))))))))))))</f>
        <v>0</v>
      </c>
      <c r="NM52" s="51"/>
      <c r="NN52" s="46"/>
      <c r="NO52" s="46"/>
      <c r="NP52" s="46"/>
      <c r="NQ52" s="46"/>
      <c r="NR52" s="46"/>
      <c r="NS52" s="46"/>
      <c r="NT52" s="46"/>
      <c r="NU52" s="46"/>
      <c r="NW52" s="46">
        <v>111600</v>
      </c>
      <c r="NX52" s="46">
        <v>111601</v>
      </c>
      <c r="NY52" s="46">
        <v>111602</v>
      </c>
      <c r="NZ52" s="46">
        <v>111603</v>
      </c>
      <c r="OA52" s="46">
        <v>111604</v>
      </c>
      <c r="OB52" s="46">
        <v>111605</v>
      </c>
      <c r="OC52" s="46">
        <v>111606</v>
      </c>
      <c r="OD52" s="46">
        <v>111607</v>
      </c>
      <c r="OE52" s="46">
        <v>111608</v>
      </c>
      <c r="OF52" s="230">
        <v>111609</v>
      </c>
      <c r="OG52" s="52">
        <f>IF(AND($N$9=2,$N$21=1),NM52,IF(AND($N$9=2,$N$21=4),NN52,IF(AND($N$9=2,$N$21=5),NO52,IF(AND($N$9=2,$N$21=11),NP52,IF(AND($N$9=2,$N$21=7),NQ52,IF(AND($N$9=2,$N$21=3),NR52,IF(AND($N$9=2,$N$21=6),NS52,IF(AND($N$9=2,$N$21=9),NT52,IF(AND($N$9=2,$N$21=2),NU52,IF(AND($N$9=2,$N$21=8),NV52,IF(AND($N$9=1,$N$21=1),NW52,IF(AND($N$9=1,$N$21=1),NW52,IF(AND($N$9=1,$N$21=4),NX52,IF(AND($N$9=1,$N$21=5),NY52,IF(AND($N$9=1,$N$21=11),NZ52,IF(AND($N$9=1,$N$21=7),OA52,IF(AND($N$9=1,$N$21=3),OB52,IF(AND($N$9=1,$N$21=6),OC52,IF(AND($N$9=1,$N$21=9),OD52,IF(AND($N$9=1,$N$21=2),OE52,IF(AND($N$9=1,$N$21=8),OF52,0)))))))))))))))))))))</f>
        <v>0</v>
      </c>
      <c r="OH52" s="51"/>
      <c r="OI52" s="46"/>
      <c r="OJ52" s="46"/>
      <c r="OK52" s="46"/>
      <c r="OL52" s="46"/>
      <c r="OM52" s="46"/>
      <c r="ON52" s="46"/>
      <c r="OO52" s="46"/>
      <c r="OP52" s="46"/>
      <c r="OR52" s="46">
        <v>111240</v>
      </c>
      <c r="OS52" s="46">
        <v>111241</v>
      </c>
      <c r="OT52" s="46">
        <v>111242</v>
      </c>
      <c r="OU52" s="46">
        <v>111243</v>
      </c>
      <c r="OV52" s="46">
        <v>111244</v>
      </c>
      <c r="OW52" s="46">
        <v>111245</v>
      </c>
      <c r="OX52" s="46">
        <v>111246</v>
      </c>
      <c r="OY52" s="46">
        <v>111247</v>
      </c>
      <c r="OZ52" s="46">
        <v>111248</v>
      </c>
      <c r="PA52" s="230">
        <v>111249</v>
      </c>
      <c r="PB52" s="52">
        <f>IF(AND($N$9=2,$N$21=1),OH52,IF(AND($N$9=2,$N$21=4),OI52,IF(AND($N$9=2,$N$21=5),OJ52,IF(AND($N$9=2,$N$21=11),OK52,IF(AND($N$9=2,$N$21=7),OL52,IF(AND($N$9=2,$N$21=3),OM52,IF(AND($N$9=2,$N$21=6),ON52,IF(AND($N$9=2,$N$21=9),OO52,IF(AND($N$9=2,$N$21=2),OP52,IF(AND($N$9=2,$N$21=8),OQ52,IF(AND($N$9=1,$N$21=1),OR52,IF(AND($N$9=1,$N$21=1),OR52,IF(AND($N$9=1,$N$21=4),OS52,IF(AND($N$9=1,$N$21=5),OT52,IF(AND($N$9=1,$N$21=11),OU52,IF(AND($N$9=1,$N$21=7),OV52,IF(AND($N$9=1,$N$21=3),OW52,IF(AND($N$9=1,$N$21=6),OX52,IF(AND($N$9=1,$N$21=9),OY52,IF(AND($N$9=1,$N$21=2),OZ52,IF(AND($N$9=1,$N$21=8),PA52,0)))))))))))))))))))))</f>
        <v>0</v>
      </c>
      <c r="PC52" s="51"/>
      <c r="PD52" s="46"/>
      <c r="PE52" s="46"/>
      <c r="PF52" s="46"/>
      <c r="PG52" s="46"/>
      <c r="PH52" s="46"/>
      <c r="PI52" s="46"/>
      <c r="PJ52" s="46"/>
      <c r="PK52" s="46"/>
      <c r="PM52" s="46">
        <v>111240</v>
      </c>
      <c r="PN52" s="46">
        <v>111241</v>
      </c>
      <c r="PO52" s="46">
        <v>111242</v>
      </c>
      <c r="PP52" s="46">
        <v>111243</v>
      </c>
      <c r="PQ52" s="46">
        <v>111244</v>
      </c>
      <c r="PR52" s="46">
        <v>111245</v>
      </c>
      <c r="PS52" s="46">
        <v>111246</v>
      </c>
      <c r="PT52" s="46">
        <v>111247</v>
      </c>
      <c r="PU52" s="46">
        <v>111248</v>
      </c>
      <c r="PV52" s="230">
        <v>111249</v>
      </c>
      <c r="PW52" s="52">
        <f>IF(AND($N$9=2,$N$21=1),PC52,IF(AND($N$9=2,$N$21=4),PD52,IF(AND($N$9=2,$N$21=5),PE52,IF(AND($N$9=2,$N$21=11),PF52,IF(AND($N$9=2,$N$21=7),PG52,IF(AND($N$9=2,$N$21=3),PH52,IF(AND($N$9=2,$N$21=6),PI52,IF(AND($N$9=2,$N$21=9),PJ52,IF(AND($N$9=2,$N$21=2),PK52,IF(AND($N$9=2,$N$21=8),PL52,IF(AND($N$9=1,$N$21=1),PM52,IF(AND($N$9=1,$N$21=1),PM52,IF(AND($N$9=1,$N$21=4),PN52,IF(AND($N$9=1,$N$21=5),PO52,IF(AND($N$9=1,$N$21=11),PP52,IF(AND($N$9=1,$N$21=7),PQ52,IF(AND($N$9=1,$N$21=3),PR52,IF(AND($N$9=1,$N$21=6),PS52,IF(AND($N$9=1,$N$21=9),PT52,IF(AND($N$9=1,$N$21=2),PU52,IF(AND($N$9=1,$N$21=8),PV52,0)))))))))))))))))))))</f>
        <v>0</v>
      </c>
      <c r="PX52" s="51"/>
      <c r="PY52" s="46"/>
      <c r="PZ52" s="46"/>
      <c r="QA52" s="46"/>
      <c r="QB52" s="46"/>
      <c r="QC52" s="46"/>
      <c r="QD52" s="46"/>
      <c r="QE52" s="46"/>
      <c r="QF52" s="46"/>
      <c r="QH52" s="46">
        <v>111620</v>
      </c>
      <c r="QI52" s="46">
        <v>111621</v>
      </c>
      <c r="QJ52" s="46">
        <v>111622</v>
      </c>
      <c r="QK52" s="46">
        <v>111623</v>
      </c>
      <c r="QL52" s="46">
        <v>111624</v>
      </c>
      <c r="QM52" s="46">
        <v>111625</v>
      </c>
      <c r="QN52" s="46">
        <v>111626</v>
      </c>
      <c r="QO52" s="46">
        <v>111627</v>
      </c>
      <c r="QP52" s="46">
        <v>111628</v>
      </c>
      <c r="QQ52" s="230">
        <v>111629</v>
      </c>
      <c r="QR52" s="52">
        <f>IF(AND($N$9=2,$N$21=1),PX52,IF(AND($N$9=2,$N$21=4),PY52,IF(AND($N$9=2,$N$21=5),PZ52,IF(AND($N$9=2,$N$21=11),QA52,IF(AND($N$9=2,$N$21=7),QB52,IF(AND($N$9=2,$N$21=3),QC52,IF(AND($N$9=2,$N$21=6),QD52,IF(AND($N$9=2,$N$21=9),QE52,IF(AND($N$9=2,$N$21=2),QF52,IF(AND($N$9=2,$N$21=8),QG52,IF(AND($N$9=1,$N$21=1),QH52,IF(AND($N$9=1,$N$21=1),QH52,IF(AND($N$9=1,$N$21=4),QI52,IF(AND($N$9=1,$N$21=5),QJ52,IF(AND($N$9=1,$N$21=11),QK52,IF(AND($N$9=1,$N$21=7),QL52,IF(AND($N$9=1,$N$21=3),QM52,IF(AND($N$9=1,$N$21=6),QN52,IF(AND($N$9=1,$N$21=9),QO52,IF(AND($N$9=1,$N$21=2),QP52,IF(AND($N$9=1,$N$21=8),QQ52,0)))))))))))))))))))))</f>
        <v>0</v>
      </c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f>IF(OR(J53=Formeln!$A$51,J53=Formeln!$A$52,J53=Formeln!$A$53,J53=Formeln!$A$77,J53=Formeln!$A$78,J53=Formeln!$A$79),AN53,IF(OR(J53=Formeln!$A$54,J53=Formeln!$A$55,J53=Formeln!$A$56,J53=Formeln!$A$80,J53=Formeln!$A$81,J53=Formeln!$A$82),BI53,IF(OR(J53=Formeln!$A$57,J53=Formeln!$A$58,J53=Formeln!$A$59,J53=Formeln!$A$83,J53=Formeln!$A$84,J53=Formeln!$A$85),CD53,IF(OR(J53=Formeln!$A$60,J53=Formeln!$A$61,J53=Formeln!$A$86,J53=Formeln!$A$87),CY53,IF(OR(J53=Formeln!$A$62,J53=Formeln!$A$63,J53=Formeln!$A$64,J53=Formeln!$A$88,J53=Formeln!$A$89,J53=Formeln!$A$90),DT53,IF(OR(J53=Formeln!$A$65,J53=Formeln!$A$66,J53=Formeln!$A$91,J53=Formeln!$A$92),EO53,IF(OR(J53=Formeln!$A$67,J53=Formeln!$A$68,J53=Formeln!$A$69,J53=Formeln!$A$70,J53=Formeln!$A$71,J53=Formeln!$A$93,J53=Formeln!$A$94,J53=Formeln!$A$95,J53=Formeln!$A$96,J53=Formeln!$A$97),FJ53,IF(OR(J53=Formeln!$A$72,J53=Formeln!$A$73,J53=Formeln!$A$74,J53=Formeln!$A$98,J53=Formeln!$A$99,J53=Formeln!$A$100),GE53,0))))))))</f>
        <v>0</v>
      </c>
      <c r="E53" s="250" t="str">
        <f>VLOOKUP("ROTO Einfassung",Sprachindex!A:Z,Info!$O$6,FALSE)</f>
        <v>ROTO Einfassung</v>
      </c>
      <c r="F53" s="251"/>
      <c r="G53" s="251"/>
      <c r="H53" s="251"/>
      <c r="I53" s="101" t="str">
        <f>VLOOKUP("Maße:",Sprachindex!A:Z,Info!$O$6,FALSE)</f>
        <v>Maße:</v>
      </c>
      <c r="J53" s="252"/>
      <c r="K53" s="253"/>
      <c r="L53" s="96" t="str">
        <f>IF($A53=0,"",IF($J53=Formeln!$A$49," ",IF($N$11=1,P53,Q53)))</f>
        <v/>
      </c>
      <c r="M53" s="97"/>
      <c r="P53" s="191" t="str">
        <f>ROUNDUP($A53,0) &amp;" " &amp; Formeln!$A$111</f>
        <v>0 STK</v>
      </c>
      <c r="Q53" s="191" t="str">
        <f>ROUNDUP($A53,0) &amp;" " &amp; Formeln!$A$111</f>
        <v>0 STK</v>
      </c>
      <c r="T53" s="46"/>
      <c r="U53" s="46"/>
      <c r="V53" s="46"/>
      <c r="W53" s="46"/>
      <c r="X53" s="46"/>
      <c r="Y53" s="46"/>
      <c r="Z53" s="46"/>
      <c r="AA53" s="46"/>
      <c r="AB53" s="46"/>
      <c r="AD53" s="46">
        <v>111300</v>
      </c>
      <c r="AE53" s="46">
        <v>111301</v>
      </c>
      <c r="AF53" s="46">
        <v>111302</v>
      </c>
      <c r="AG53" s="46">
        <v>111303</v>
      </c>
      <c r="AH53" s="46">
        <v>111304</v>
      </c>
      <c r="AI53" s="46">
        <v>111305</v>
      </c>
      <c r="AJ53" s="46">
        <v>111306</v>
      </c>
      <c r="AK53" s="46">
        <v>111307</v>
      </c>
      <c r="AL53" s="46">
        <v>111308</v>
      </c>
      <c r="AM53" s="229">
        <v>111309</v>
      </c>
      <c r="AN53" s="52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46"/>
      <c r="AP53" s="46"/>
      <c r="AQ53" s="46"/>
      <c r="AR53" s="46"/>
      <c r="AS53" s="46"/>
      <c r="AT53" s="46"/>
      <c r="AU53" s="46"/>
      <c r="AV53" s="46"/>
      <c r="AW53" s="46"/>
      <c r="AY53" s="46">
        <v>111320</v>
      </c>
      <c r="AZ53" s="46">
        <v>111321</v>
      </c>
      <c r="BA53" s="46">
        <v>111322</v>
      </c>
      <c r="BB53" s="46">
        <v>111323</v>
      </c>
      <c r="BC53" s="46">
        <v>111324</v>
      </c>
      <c r="BD53" s="46">
        <v>111325</v>
      </c>
      <c r="BE53" s="46">
        <v>111326</v>
      </c>
      <c r="BF53" s="46">
        <v>111327</v>
      </c>
      <c r="BG53" s="46">
        <v>111328</v>
      </c>
      <c r="BH53" s="229">
        <v>111329</v>
      </c>
      <c r="BI53" s="52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46"/>
      <c r="BK53" s="46"/>
      <c r="BL53" s="46"/>
      <c r="BM53" s="46"/>
      <c r="BN53" s="46"/>
      <c r="BO53" s="46"/>
      <c r="BP53" s="46"/>
      <c r="BQ53" s="46"/>
      <c r="BR53" s="46"/>
      <c r="BT53" s="46">
        <v>111340</v>
      </c>
      <c r="BU53" s="46">
        <v>111341</v>
      </c>
      <c r="BV53" s="46">
        <v>111342</v>
      </c>
      <c r="BW53" s="46">
        <v>111343</v>
      </c>
      <c r="BX53" s="46">
        <v>111344</v>
      </c>
      <c r="BY53" s="46">
        <v>111345</v>
      </c>
      <c r="BZ53" s="46">
        <v>111346</v>
      </c>
      <c r="CA53" s="46">
        <v>111347</v>
      </c>
      <c r="CB53" s="46">
        <v>111348</v>
      </c>
      <c r="CC53" s="229">
        <v>111349</v>
      </c>
      <c r="CD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46"/>
      <c r="CF53" s="46"/>
      <c r="CG53" s="46"/>
      <c r="CH53" s="46"/>
      <c r="CI53" s="46"/>
      <c r="CJ53" s="46"/>
      <c r="CK53" s="46"/>
      <c r="CL53" s="46"/>
      <c r="CM53" s="46"/>
      <c r="CO53" s="46">
        <v>111360</v>
      </c>
      <c r="CP53" s="46">
        <v>111361</v>
      </c>
      <c r="CQ53" s="46">
        <v>111362</v>
      </c>
      <c r="CR53" s="46">
        <v>111363</v>
      </c>
      <c r="CS53" s="46">
        <v>111364</v>
      </c>
      <c r="CT53" s="46">
        <v>111365</v>
      </c>
      <c r="CU53" s="46">
        <v>111366</v>
      </c>
      <c r="CV53" s="46">
        <v>111367</v>
      </c>
      <c r="CW53" s="46">
        <v>111368</v>
      </c>
      <c r="CX53" s="229">
        <v>111369</v>
      </c>
      <c r="CY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DJ53" s="46">
        <v>111380</v>
      </c>
      <c r="DK53" s="46">
        <v>111381</v>
      </c>
      <c r="DL53" s="46">
        <v>111382</v>
      </c>
      <c r="DM53" s="46">
        <v>111383</v>
      </c>
      <c r="DN53" s="46">
        <v>111384</v>
      </c>
      <c r="DO53" s="46">
        <v>111385</v>
      </c>
      <c r="DP53" s="46">
        <v>111386</v>
      </c>
      <c r="DQ53" s="46">
        <v>111387</v>
      </c>
      <c r="DR53" s="46">
        <v>111388</v>
      </c>
      <c r="DS53" s="229">
        <v>111389</v>
      </c>
      <c r="DT53" s="52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46"/>
      <c r="DV53" s="46"/>
      <c r="DW53" s="46"/>
      <c r="DX53" s="46"/>
      <c r="DY53" s="46"/>
      <c r="DZ53" s="46"/>
      <c r="EA53" s="46"/>
      <c r="EB53" s="46"/>
      <c r="EC53" s="46"/>
      <c r="EE53" s="46">
        <v>111400</v>
      </c>
      <c r="EF53" s="46">
        <v>111401</v>
      </c>
      <c r="EG53" s="46">
        <v>111402</v>
      </c>
      <c r="EH53" s="46">
        <v>111403</v>
      </c>
      <c r="EI53" s="46">
        <v>111404</v>
      </c>
      <c r="EJ53" s="46">
        <v>111405</v>
      </c>
      <c r="EK53" s="46">
        <v>111406</v>
      </c>
      <c r="EL53" s="46">
        <v>111407</v>
      </c>
      <c r="EM53" s="46">
        <v>111408</v>
      </c>
      <c r="EN53" s="229">
        <v>111409</v>
      </c>
      <c r="EO53" s="52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46"/>
      <c r="EQ53" s="46"/>
      <c r="ER53" s="46"/>
      <c r="ES53" s="46"/>
      <c r="ET53" s="46"/>
      <c r="EU53" s="46"/>
      <c r="EV53" s="46"/>
      <c r="EW53" s="46"/>
      <c r="EX53" s="46"/>
      <c r="EZ53" s="46">
        <v>111420</v>
      </c>
      <c r="FA53" s="46">
        <v>111421</v>
      </c>
      <c r="FB53" s="46">
        <v>111422</v>
      </c>
      <c r="FC53" s="46">
        <v>111423</v>
      </c>
      <c r="FD53" s="46">
        <v>111424</v>
      </c>
      <c r="FE53" s="46">
        <v>111425</v>
      </c>
      <c r="FF53" s="46">
        <v>111426</v>
      </c>
      <c r="FG53" s="46">
        <v>111427</v>
      </c>
      <c r="FH53" s="46">
        <v>111428</v>
      </c>
      <c r="FI53" s="229">
        <v>111429</v>
      </c>
      <c r="FJ53" s="52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46"/>
      <c r="FL53" s="46"/>
      <c r="FM53" s="46"/>
      <c r="FN53" s="46"/>
      <c r="FO53" s="46"/>
      <c r="FP53" s="46"/>
      <c r="FQ53" s="46"/>
      <c r="FR53" s="46"/>
      <c r="FS53" s="46"/>
      <c r="FU53" s="46">
        <v>111440</v>
      </c>
      <c r="FV53" s="46">
        <v>111441</v>
      </c>
      <c r="FW53" s="46">
        <v>111442</v>
      </c>
      <c r="FX53" s="46">
        <v>111443</v>
      </c>
      <c r="FY53" s="46">
        <v>111444</v>
      </c>
      <c r="FZ53" s="46">
        <v>111445</v>
      </c>
      <c r="GA53" s="46">
        <v>111446</v>
      </c>
      <c r="GB53" s="46">
        <v>111447</v>
      </c>
      <c r="GC53" s="46">
        <v>111448</v>
      </c>
      <c r="GD53" s="229">
        <v>111449</v>
      </c>
      <c r="GE53" s="52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Z53" s="52"/>
      <c r="HU53" s="52"/>
      <c r="IP53" s="52"/>
      <c r="JK53" s="52"/>
      <c r="KF53" s="52"/>
      <c r="LA53" s="52"/>
      <c r="LV53" s="52"/>
      <c r="MQ53" s="52"/>
      <c r="NL53" s="52"/>
      <c r="OG53" s="52"/>
      <c r="PB53" s="52"/>
      <c r="PW53" s="52"/>
      <c r="QR53" s="52"/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v>111700</v>
      </c>
      <c r="E54" s="250" t="str">
        <f>VLOOKUP("ROTO Einfassung-Q-Serie",Sprachindex!A:Z,Info!$O$6,FALSE)</f>
        <v>ROTO Einfassung-Q-Serie</v>
      </c>
      <c r="F54" s="251"/>
      <c r="G54" s="251"/>
      <c r="H54" s="251"/>
      <c r="I54" s="101" t="str">
        <f>VLOOKUP("Maße:",Sprachindex!A:Z,Info!$O$6,FALSE)</f>
        <v>Maße:</v>
      </c>
      <c r="J54" s="252"/>
      <c r="K54" s="253"/>
      <c r="L54" s="96" t="str">
        <f>IF($A54=0,"",IF($J54=Formeln!$A$49," ",IF($N$11=1,P54,Q54)))</f>
        <v/>
      </c>
      <c r="M54" s="97"/>
      <c r="P54" s="191" t="str">
        <f>ROUNDUP($A54,0) &amp;" " &amp; Formeln!$A$111</f>
        <v>0 STK</v>
      </c>
      <c r="Q54" s="191" t="str">
        <f>ROUNDUP($A54,0) &amp;" " &amp; Formeln!$A$111</f>
        <v>0 STK</v>
      </c>
      <c r="T54" s="46"/>
      <c r="U54" s="46"/>
      <c r="V54" s="46"/>
      <c r="W54" s="46"/>
      <c r="X54" s="46"/>
      <c r="Y54" s="46"/>
      <c r="Z54" s="46"/>
      <c r="AA54" s="46"/>
      <c r="AB54" s="46"/>
      <c r="AD54" s="161"/>
      <c r="AE54" s="161"/>
      <c r="AF54" s="161"/>
      <c r="AG54" s="161"/>
      <c r="AH54" s="161"/>
      <c r="AI54" s="161"/>
      <c r="AJ54" s="161"/>
      <c r="AK54" s="161"/>
      <c r="AL54" s="161"/>
      <c r="AM54" s="231"/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54,0))))))))))))))))))))</f>
        <v>0</v>
      </c>
      <c r="AO54" s="46"/>
      <c r="AP54" s="46"/>
      <c r="AQ54" s="46"/>
      <c r="AR54" s="46"/>
      <c r="AS54" s="46"/>
      <c r="AT54" s="46"/>
      <c r="AU54" s="46"/>
      <c r="AV54" s="46"/>
      <c r="AW54" s="46"/>
      <c r="AY54" s="161"/>
      <c r="AZ54" s="161"/>
      <c r="BA54" s="161"/>
      <c r="BB54" s="161"/>
      <c r="BC54" s="161"/>
      <c r="BD54" s="161"/>
      <c r="BE54" s="161"/>
      <c r="BF54" s="161"/>
      <c r="BG54" s="161"/>
      <c r="BH54" s="231"/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54,0))))))))))))))))))))</f>
        <v>0</v>
      </c>
      <c r="BJ54" s="46"/>
      <c r="BK54" s="46"/>
      <c r="BL54" s="46"/>
      <c r="BM54" s="46"/>
      <c r="BN54" s="46"/>
      <c r="BO54" s="46"/>
      <c r="BP54" s="46"/>
      <c r="BQ54" s="46"/>
      <c r="BR54" s="46"/>
      <c r="BT54" s="161"/>
      <c r="BU54" s="161"/>
      <c r="BV54" s="161"/>
      <c r="BW54" s="161"/>
      <c r="BX54" s="161"/>
      <c r="BY54" s="161"/>
      <c r="BZ54" s="161"/>
      <c r="CA54" s="161"/>
      <c r="CB54" s="161"/>
      <c r="CC54" s="231"/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54,0))))))))))))))))))))</f>
        <v>0</v>
      </c>
      <c r="CE54" s="46"/>
      <c r="CF54" s="46"/>
      <c r="CG54" s="46"/>
      <c r="CH54" s="46"/>
      <c r="CI54" s="46"/>
      <c r="CJ54" s="46"/>
      <c r="CK54" s="46"/>
      <c r="CL54" s="46"/>
      <c r="CM54" s="46"/>
      <c r="CO54" s="161"/>
      <c r="CP54" s="161"/>
      <c r="CQ54" s="161"/>
      <c r="CR54" s="161"/>
      <c r="CS54" s="161"/>
      <c r="CT54" s="161"/>
      <c r="CU54" s="161"/>
      <c r="CV54" s="161"/>
      <c r="CW54" s="161"/>
      <c r="CX54" s="231"/>
      <c r="CY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54,0))))))))))))))))))))</f>
        <v>0</v>
      </c>
      <c r="DJ54" s="161"/>
      <c r="DK54" s="161"/>
      <c r="DL54" s="161"/>
      <c r="DM54" s="161"/>
      <c r="DN54" s="161"/>
      <c r="DO54" s="161"/>
      <c r="DP54" s="161"/>
      <c r="DQ54" s="161"/>
      <c r="DR54" s="161"/>
      <c r="DS54" s="231"/>
      <c r="DT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54,0))))))))))))))))))))</f>
        <v>0</v>
      </c>
      <c r="DU54" s="46"/>
      <c r="DV54" s="46"/>
      <c r="DW54" s="46"/>
      <c r="DX54" s="46"/>
      <c r="DY54" s="46"/>
      <c r="DZ54" s="46"/>
      <c r="EA54" s="46"/>
      <c r="EB54" s="46"/>
      <c r="EC54" s="46"/>
      <c r="EE54" s="161"/>
      <c r="EF54" s="161"/>
      <c r="EG54" s="161"/>
      <c r="EH54" s="161"/>
      <c r="EI54" s="161"/>
      <c r="EJ54" s="161"/>
      <c r="EK54" s="161"/>
      <c r="EL54" s="161"/>
      <c r="EM54" s="161"/>
      <c r="EN54" s="231"/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54,0))))))))))))))))))))</f>
        <v>0</v>
      </c>
      <c r="GW54" s="160"/>
      <c r="HR54" s="160"/>
      <c r="IM54" s="160"/>
      <c r="JH54" s="160"/>
      <c r="KC54" s="160"/>
      <c r="KX54" s="160"/>
      <c r="LS54" s="160"/>
      <c r="MN54" s="160"/>
      <c r="NI54" s="160"/>
      <c r="OD54" s="160"/>
      <c r="OY54" s="160"/>
      <c r="PT54" s="160"/>
      <c r="QO54" s="160"/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 t="shared" ref="D55:D61" si="3">IF($N$21=1,T55,IF($N$21=4,U55,IF($N$21=5,V55,IF($N$21=11,W55,IF($N$21=7,X55,IF($N$21=3,Y55,IF($N$21=6,Z55,IF($N$21=9,AA55,IF($N$21=2,AB55,IF($N$21=8,AC55,0))))))))))</f>
        <v>0</v>
      </c>
      <c r="E55" s="250" t="str">
        <f>VLOOKUP("Einzeltritt",Sprachindex!A:Z,Info!$O$6,FALSE)</f>
        <v>Einzeltritt</v>
      </c>
      <c r="F55" s="251"/>
      <c r="G55" s="251"/>
      <c r="H55" s="251"/>
      <c r="I55" s="251"/>
      <c r="J55" s="251"/>
      <c r="K55" s="257"/>
      <c r="L55" s="96" t="str">
        <f t="shared" si="0"/>
        <v/>
      </c>
      <c r="M55" s="97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>
        <v>120070</v>
      </c>
      <c r="U55" s="46">
        <v>120071</v>
      </c>
      <c r="V55" s="46">
        <v>120072</v>
      </c>
      <c r="W55" s="46">
        <v>120073</v>
      </c>
      <c r="X55" s="46">
        <v>120074</v>
      </c>
      <c r="Y55" s="46">
        <v>120075</v>
      </c>
      <c r="Z55" s="46">
        <v>120076</v>
      </c>
      <c r="AA55" s="46">
        <v>120077</v>
      </c>
      <c r="AB55" s="46">
        <v>120078</v>
      </c>
      <c r="AC55" s="46">
        <v>120079</v>
      </c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f t="shared" si="3"/>
        <v>0</v>
      </c>
      <c r="E56" s="250" t="str">
        <f>VLOOKUP("Laufstegstütze FT250, inkl. Zubehör",Sprachindex!A:Z,Info!$O$6,FALSE)</f>
        <v>Laufstegstütze FT250, inkl. Zubehör</v>
      </c>
      <c r="F56" s="251"/>
      <c r="G56" s="251"/>
      <c r="H56" s="251"/>
      <c r="I56" s="251"/>
      <c r="J56" s="251"/>
      <c r="K56" s="257"/>
      <c r="L56" s="96" t="str">
        <f t="shared" si="0"/>
        <v/>
      </c>
      <c r="M56" s="97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>
        <v>120080</v>
      </c>
      <c r="U56" s="46">
        <v>120081</v>
      </c>
      <c r="V56" s="46">
        <v>120082</v>
      </c>
      <c r="W56" s="46">
        <v>120083</v>
      </c>
      <c r="X56" s="46">
        <v>120084</v>
      </c>
      <c r="Y56" s="46">
        <v>120085</v>
      </c>
      <c r="Z56" s="46">
        <v>120086</v>
      </c>
      <c r="AA56" s="46">
        <v>120087</v>
      </c>
      <c r="AB56" s="46">
        <v>120088</v>
      </c>
      <c r="AC56" s="46">
        <v>120089</v>
      </c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v>649304</v>
      </c>
      <c r="E57" s="250" t="str">
        <f>VLOOKUP("Laufstegstütze auf zwei Fussteilen, geprüft nach EN 516-1-B (360 mm)",Sprachindex!A:Z,Info!$O$6,FALSE)</f>
        <v>Laufstegstütze auf zwei Fussteilen, geprüft nach EN 516-1-B (360 mm)</v>
      </c>
      <c r="F57" s="251"/>
      <c r="G57" s="251"/>
      <c r="H57" s="251"/>
      <c r="I57" s="251"/>
      <c r="J57" s="251"/>
      <c r="K57" s="257"/>
      <c r="L57" s="96" t="str">
        <f t="shared" si="0"/>
        <v/>
      </c>
      <c r="M57" s="97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f t="shared" si="3"/>
        <v>0</v>
      </c>
      <c r="E58" s="250" t="str">
        <f>VLOOKUP("Laufsteg 250x1200mm, inkl. Befestigung ",Sprachindex!A:Z,Info!$O$6,FALSE)</f>
        <v xml:space="preserve">Laufsteg 250x1200mm, inkl. Befestigung </v>
      </c>
      <c r="F58" s="251"/>
      <c r="G58" s="251"/>
      <c r="H58" s="251"/>
      <c r="I58" s="251"/>
      <c r="J58" s="251"/>
      <c r="K58" s="257"/>
      <c r="L58" s="96" t="str">
        <f t="shared" si="0"/>
        <v/>
      </c>
      <c r="M58" s="97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>
        <v>120030</v>
      </c>
      <c r="U58" s="46">
        <v>120031</v>
      </c>
      <c r="V58" s="46">
        <v>120032</v>
      </c>
      <c r="W58" s="46">
        <v>120033</v>
      </c>
      <c r="X58" s="46">
        <v>120034</v>
      </c>
      <c r="Y58" s="46">
        <v>120035</v>
      </c>
      <c r="Z58" s="46">
        <v>120036</v>
      </c>
      <c r="AA58" s="46">
        <v>120037</v>
      </c>
      <c r="AB58" s="46">
        <v>120038</v>
      </c>
      <c r="AC58" s="46">
        <v>120039</v>
      </c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f t="shared" si="3"/>
        <v>0</v>
      </c>
      <c r="E59" s="250" t="str">
        <f>VLOOKUP("Laufsteg 250x800mm, inkl. Befestigung ",Sprachindex!A:Z,Info!$O$6,FALSE)</f>
        <v xml:space="preserve">Laufsteg 250x800mm, inkl. Befestigung 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97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>
        <v>120020</v>
      </c>
      <c r="U59" s="46">
        <v>120021</v>
      </c>
      <c r="V59" s="46">
        <v>120022</v>
      </c>
      <c r="W59" s="46">
        <v>120023</v>
      </c>
      <c r="X59" s="46">
        <v>120024</v>
      </c>
      <c r="Y59" s="46">
        <v>120025</v>
      </c>
      <c r="Z59" s="46">
        <v>120026</v>
      </c>
      <c r="AA59" s="46">
        <v>120027</v>
      </c>
      <c r="AB59" s="46">
        <v>120028</v>
      </c>
      <c r="AC59" s="46">
        <v>121075</v>
      </c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 t="shared" si="3"/>
        <v>0</v>
      </c>
      <c r="E60" s="250" t="str">
        <f>VLOOKUP("Laufsteg 250x600mm, inkl. Befestigung ",Sprachindex!A:Z,Info!$O$6,FALSE)</f>
        <v xml:space="preserve">Laufsteg 250x600mm, inkl. Befestigung </v>
      </c>
      <c r="F60" s="251"/>
      <c r="G60" s="251"/>
      <c r="H60" s="251"/>
      <c r="I60" s="251"/>
      <c r="J60" s="251"/>
      <c r="K60" s="257"/>
      <c r="L60" s="96" t="str">
        <f t="shared" si="0"/>
        <v/>
      </c>
      <c r="M60" s="97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>
        <v>120060</v>
      </c>
      <c r="U60" s="46">
        <v>120061</v>
      </c>
      <c r="V60" s="46">
        <v>120062</v>
      </c>
      <c r="W60" s="46">
        <v>120063</v>
      </c>
      <c r="X60" s="46">
        <v>120064</v>
      </c>
      <c r="Y60" s="46">
        <v>120065</v>
      </c>
      <c r="Z60" s="46">
        <v>120066</v>
      </c>
      <c r="AA60" s="46">
        <v>120067</v>
      </c>
      <c r="AB60" s="46">
        <v>120068</v>
      </c>
      <c r="AC60" s="46">
        <v>120069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f t="shared" si="3"/>
        <v>0</v>
      </c>
      <c r="E61" s="250" t="str">
        <f>VLOOKUP("Laufsteg 250x420mm, inkl. Befestigung ",Sprachindex!A:Z,Info!$O$6,FALSE)</f>
        <v xml:space="preserve">Laufsteg 250x420mm, inkl. Befestigung 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97"/>
      <c r="P61" s="191" t="str">
        <f>ROUNDUP($A61/4,0)*4 &amp;" " &amp; Formeln!$A$111</f>
        <v>0 STK</v>
      </c>
      <c r="Q61" s="191" t="str">
        <f>ROUNDUP($A61,0) &amp;" " &amp; Formeln!$A$111</f>
        <v>0 STK</v>
      </c>
      <c r="T61" s="46">
        <v>120010</v>
      </c>
      <c r="U61" s="46">
        <v>120011</v>
      </c>
      <c r="V61" s="46">
        <v>120012</v>
      </c>
      <c r="W61" s="46">
        <v>120013</v>
      </c>
      <c r="X61" s="46">
        <v>120014</v>
      </c>
      <c r="Y61" s="46">
        <v>120015</v>
      </c>
      <c r="Z61" s="46">
        <v>120016</v>
      </c>
      <c r="AA61" s="46">
        <v>120017</v>
      </c>
      <c r="AB61" s="46">
        <v>120018</v>
      </c>
      <c r="AC61" s="46">
        <v>120019</v>
      </c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v>649305</v>
      </c>
      <c r="E62" s="250" t="str">
        <f>VLOOKUP("Laufsteg 360x800mm, inkl. Befestigung ",Sprachindex!A:Z,Info!$O$6,FALSE)</f>
        <v xml:space="preserve">Laufsteg 360x800mm, inkl. Befestigung 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97"/>
      <c r="P62" s="191" t="str">
        <f>ROUNDUP($A62,0) &amp;" " &amp; Formeln!$A$111</f>
        <v>0 STK</v>
      </c>
      <c r="Q62" s="191" t="str">
        <f>ROUNDUP($A62,0) &amp;" " &amp; Formeln!$A$111</f>
        <v>0 STK</v>
      </c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v>649306</v>
      </c>
      <c r="E63" s="250" t="str">
        <f>VLOOKUP("Laufsteg 360x1200mm, inkl. Befestigung ",Sprachindex!A:Z,Info!$O$6,FALSE)</f>
        <v xml:space="preserve">Laufsteg 360x1200mm, inkl. Befestigung 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97"/>
      <c r="P63" s="191" t="str">
        <f>ROUNDUP($A63,0) &amp;" " &amp; Formeln!$A$111</f>
        <v>0 STK</v>
      </c>
      <c r="Q63" s="191" t="str">
        <f>ROUNDUP($A63,0) &amp;" " &amp; Formeln!$A$111</f>
        <v>0 STK</v>
      </c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460" ht="32.1" customHeight="1">
      <c r="A64" s="118"/>
      <c r="B64" s="96" t="str">
        <f>VLOOKUP("Stk",Sprachindex!A:Z,Info!$O$6,FALSE)</f>
        <v>STK</v>
      </c>
      <c r="C64" s="95"/>
      <c r="D64" s="100">
        <v>649001</v>
      </c>
      <c r="E64" s="250" t="str">
        <f>VLOOKUP("Laufstegverbinder 250mm breit",Sprachindex!A:Z,Info!$O$6,FALSE)</f>
        <v>Laufstegverbinder 250mm breit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97"/>
      <c r="P64" s="191" t="str">
        <f>ROUNDUP($A64,0) &amp;" " &amp; Formeln!$A$111</f>
        <v>0 STK</v>
      </c>
      <c r="Q64" s="191" t="str">
        <f>ROUNDUP($A64,0) &amp;" " &amp; Formeln!$A$111</f>
        <v>0 STK</v>
      </c>
      <c r="T64" s="49" t="s">
        <v>29</v>
      </c>
      <c r="U64" s="49" t="s">
        <v>30</v>
      </c>
      <c r="V64" s="49" t="s">
        <v>31</v>
      </c>
      <c r="W64" s="49" t="s">
        <v>32</v>
      </c>
      <c r="X64" s="49" t="s">
        <v>33</v>
      </c>
      <c r="Y64" s="49" t="s">
        <v>34</v>
      </c>
      <c r="Z64" s="49" t="s">
        <v>35</v>
      </c>
      <c r="AA64" s="49" t="s">
        <v>36</v>
      </c>
      <c r="AB64" s="49" t="s">
        <v>37</v>
      </c>
      <c r="AC64" s="49" t="s">
        <v>38</v>
      </c>
      <c r="AD64" s="49" t="s">
        <v>29</v>
      </c>
      <c r="AE64" s="49" t="s">
        <v>30</v>
      </c>
      <c r="AF64" s="49" t="s">
        <v>31</v>
      </c>
      <c r="AG64" s="49" t="s">
        <v>32</v>
      </c>
      <c r="AH64" s="49" t="s">
        <v>33</v>
      </c>
      <c r="AI64" s="49" t="s">
        <v>34</v>
      </c>
      <c r="AJ64" s="49" t="s">
        <v>35</v>
      </c>
      <c r="AK64" s="49" t="s">
        <v>36</v>
      </c>
      <c r="AL64" s="49" t="s">
        <v>37</v>
      </c>
      <c r="AM64" s="49" t="s">
        <v>38</v>
      </c>
    </row>
    <row r="65" spans="1:39" ht="32.1" customHeight="1">
      <c r="A65" s="118"/>
      <c r="B65" s="96" t="str">
        <f>VLOOKUP("Stk",Sprachindex!A:Z,Info!$O$6,FALSE)</f>
        <v>STK</v>
      </c>
      <c r="C65" s="95"/>
      <c r="D65" s="100">
        <v>649008</v>
      </c>
      <c r="E65" s="250" t="str">
        <f>VLOOKUP("Laufstegverbinder 360mm breit",Sprachindex!A:Z,Info!$O$6,FALSE)</f>
        <v>Laufstegverbinder 360mm breit</v>
      </c>
      <c r="F65" s="251"/>
      <c r="G65" s="251"/>
      <c r="H65" s="251"/>
      <c r="I65" s="251"/>
      <c r="J65" s="251"/>
      <c r="K65" s="257"/>
      <c r="L65" s="96" t="str">
        <f t="shared" si="0"/>
        <v/>
      </c>
      <c r="M65" s="97"/>
      <c r="P65" s="191" t="str">
        <f>ROUNDUP($A65,0) &amp;" " &amp; Formeln!$A$111</f>
        <v>0 STK</v>
      </c>
      <c r="Q65" s="191" t="str">
        <f>ROUNDUP($A65,0) &amp;" " &amp; Formeln!$A$111</f>
        <v>0 STK</v>
      </c>
      <c r="T65" s="49" t="s">
        <v>29</v>
      </c>
      <c r="U65" s="49" t="s">
        <v>30</v>
      </c>
      <c r="V65" s="49" t="s">
        <v>31</v>
      </c>
      <c r="W65" s="49" t="s">
        <v>32</v>
      </c>
      <c r="X65" s="49" t="s">
        <v>33</v>
      </c>
      <c r="Y65" s="49" t="s">
        <v>34</v>
      </c>
      <c r="Z65" s="49" t="s">
        <v>35</v>
      </c>
      <c r="AA65" s="49" t="s">
        <v>36</v>
      </c>
      <c r="AB65" s="49" t="s">
        <v>37</v>
      </c>
      <c r="AC65" s="49" t="s">
        <v>38</v>
      </c>
      <c r="AD65" s="49" t="s">
        <v>29</v>
      </c>
      <c r="AE65" s="49" t="s">
        <v>30</v>
      </c>
      <c r="AF65" s="49" t="s">
        <v>31</v>
      </c>
      <c r="AG65" s="49" t="s">
        <v>32</v>
      </c>
      <c r="AH65" s="49" t="s">
        <v>33</v>
      </c>
      <c r="AI65" s="49" t="s">
        <v>34</v>
      </c>
      <c r="AJ65" s="49" t="s">
        <v>35</v>
      </c>
      <c r="AK65" s="49" t="s">
        <v>36</v>
      </c>
      <c r="AL65" s="49" t="s">
        <v>37</v>
      </c>
      <c r="AM65" s="49" t="s">
        <v>38</v>
      </c>
    </row>
    <row r="66" spans="1:39" ht="32.1" customHeight="1">
      <c r="A66" s="118"/>
      <c r="B66" s="96" t="str">
        <f>VLOOKUP("Stk",Sprachindex!A:Z,Info!$O$6,FALSE)</f>
        <v>STK</v>
      </c>
      <c r="C66" s="98"/>
      <c r="D66" s="100">
        <v>635661</v>
      </c>
      <c r="E66" s="250" t="str">
        <f>VLOOKUP("Sicherheitsdachhaken nach EN 517 B, mit Tellerfüßen",Sprachindex!A:Z,Info!$O$6,FALSE)</f>
        <v>Sicherheitsdachhaken nach EN 517 B, mit Tellerfüßen</v>
      </c>
      <c r="F66" s="251"/>
      <c r="G66" s="251"/>
      <c r="H66" s="251"/>
      <c r="I66" s="251"/>
      <c r="J66" s="251"/>
      <c r="K66" s="257"/>
      <c r="L66" s="96" t="str">
        <f t="shared" si="0"/>
        <v/>
      </c>
      <c r="M66" s="102"/>
      <c r="P66" s="191" t="str">
        <f>ROUNDUP($A66,0) &amp;" " &amp; Formeln!$A$111</f>
        <v>0 STK</v>
      </c>
      <c r="Q66" s="191" t="str">
        <f>ROUNDUP($A66,0) &amp;" " &amp; Formeln!$A$111</f>
        <v>0 STK</v>
      </c>
    </row>
    <row r="67" spans="1:39" ht="32.1" customHeight="1">
      <c r="A67" s="118"/>
      <c r="B67" s="96" t="str">
        <f>VLOOKUP("Stk",Sprachindex!A:Z,Info!$O$6,FALSE)</f>
        <v>STK</v>
      </c>
      <c r="C67" s="98"/>
      <c r="D67" s="95">
        <f t="shared" ref="D67:D73" si="4">IF($N$21=1,T67,IF($N$21=4,U67,IF($N$21=5,V67,IF($N$21=11,W67,IF($N$21=7,X67,IF($N$21=3,Y67,IF($N$21=6,Z67,IF($N$21=9,AA67,IF($N$21=2,AB67,IF($N$21=8,AC67,0))))))))))</f>
        <v>0</v>
      </c>
      <c r="E67" s="250" t="str">
        <f>VLOOKUP("Dachsicherheitshaken, nach DIN EN 517 B",Sprachindex!A:Z,Info!$O$6,FALSE)</f>
        <v>Dachsicherheitshaken, nach DIN EN 517 B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102"/>
      <c r="P67" s="191" t="str">
        <f>ROUNDUP($A67/12,0)*12 &amp;" " &amp; Formeln!$A$111</f>
        <v>0 STK</v>
      </c>
      <c r="Q67" s="191" t="str">
        <f>ROUNDUP($A67,0) &amp;" " &amp; Formeln!$A$111</f>
        <v>0 STK</v>
      </c>
      <c r="T67" s="46">
        <v>120000</v>
      </c>
      <c r="U67" s="46">
        <v>120001</v>
      </c>
      <c r="V67" s="46">
        <v>120002</v>
      </c>
      <c r="W67" s="46">
        <v>120003</v>
      </c>
      <c r="X67" s="46">
        <v>120004</v>
      </c>
      <c r="Y67" s="46">
        <v>120005</v>
      </c>
      <c r="Z67" s="46">
        <v>120006</v>
      </c>
      <c r="AA67" s="46">
        <v>120007</v>
      </c>
      <c r="AB67" s="46">
        <v>120008</v>
      </c>
      <c r="AC67" s="46">
        <v>120009</v>
      </c>
    </row>
    <row r="68" spans="1:39" ht="32.1" customHeight="1">
      <c r="A68" s="118"/>
      <c r="B68" s="96" t="str">
        <f>VLOOKUP("Stk",Sprachindex!A:Z,Info!$O$6,FALSE)</f>
        <v>STK</v>
      </c>
      <c r="C68" s="98"/>
      <c r="D68" s="95">
        <f t="shared" si="4"/>
        <v>0</v>
      </c>
      <c r="E68" s="250" t="str">
        <f>VLOOKUP("Einfassungsplatte R.16/FX.12",Sprachindex!A:Z,Info!$O$6,FALSE)</f>
        <v>Einfassungsplatte R.16/FX.12</v>
      </c>
      <c r="F68" s="251"/>
      <c r="G68" s="251"/>
      <c r="H68" s="251"/>
      <c r="I68" s="251"/>
      <c r="J68" s="251"/>
      <c r="K68" s="257"/>
      <c r="L68" s="96" t="str">
        <f t="shared" si="0"/>
        <v/>
      </c>
      <c r="M68" s="102"/>
      <c r="P68" s="191" t="str">
        <f>ROUNDUP($A68,0) &amp;" " &amp; Formeln!$A$111</f>
        <v>0 STK</v>
      </c>
      <c r="Q68" s="191" t="str">
        <f>ROUNDUP($A68,0) &amp;" " &amp; Formeln!$A$111</f>
        <v>0 STK</v>
      </c>
      <c r="T68" s="46">
        <v>112061</v>
      </c>
      <c r="U68" s="46">
        <v>112062</v>
      </c>
      <c r="V68" s="46">
        <v>112063</v>
      </c>
      <c r="W68" s="46">
        <v>112064</v>
      </c>
      <c r="X68" s="46">
        <v>112065</v>
      </c>
      <c r="Y68" s="46">
        <v>112066</v>
      </c>
      <c r="Z68" s="46">
        <v>112068</v>
      </c>
      <c r="AA68" s="46">
        <v>112067</v>
      </c>
      <c r="AB68" s="46">
        <v>112069</v>
      </c>
      <c r="AC68" s="46">
        <v>112070</v>
      </c>
    </row>
    <row r="69" spans="1:39" ht="32.1" customHeight="1">
      <c r="A69" s="118"/>
      <c r="B69" s="96" t="str">
        <f>VLOOKUP("Stk",Sprachindex!A:Z,Info!$O$6,FALSE)</f>
        <v>STK</v>
      </c>
      <c r="C69" s="98"/>
      <c r="D69" s="95">
        <f t="shared" si="4"/>
        <v>0</v>
      </c>
      <c r="E69" s="250" t="str">
        <f>VLOOKUP("Einfassungsplatte, zum Einfalzen",Sprachindex!A:Z,Info!$O$6,FALSE)</f>
        <v>Einfassungsplatte, zum Einfalzen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102"/>
      <c r="P69" s="191" t="str">
        <f>ROUNDUP($A69/5,0)*5 &amp;" " &amp; Formeln!$A$111</f>
        <v>0 STK</v>
      </c>
      <c r="Q69" s="191" t="str">
        <f>ROUNDUP($A69,0) &amp;" " &amp; Formeln!$A$111</f>
        <v>0 STK</v>
      </c>
      <c r="T69" s="46">
        <v>110230</v>
      </c>
      <c r="U69" s="46">
        <v>110231</v>
      </c>
      <c r="V69" s="46">
        <v>110232</v>
      </c>
      <c r="W69" s="46">
        <v>110233</v>
      </c>
      <c r="X69" s="46">
        <v>110234</v>
      </c>
      <c r="Y69" s="46">
        <v>110235</v>
      </c>
      <c r="Z69" s="46">
        <v>110236</v>
      </c>
      <c r="AA69" s="46">
        <v>110237</v>
      </c>
      <c r="AB69" s="46">
        <v>110238</v>
      </c>
      <c r="AC69" s="46">
        <v>110239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95">
        <f t="shared" si="4"/>
        <v>0</v>
      </c>
      <c r="E70" s="250" t="str">
        <f>VLOOKUP("Universaleinfassungsplatte, 2-teilig ",Sprachindex!A:Z,Info!$O$6,FALSE)</f>
        <v xml:space="preserve">Universaleinfassungsplatte, 2-teilig 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02"/>
      <c r="P70" s="191" t="str">
        <f>ROUNDUP($A70,0) &amp;" " &amp; Formeln!$A$111</f>
        <v>0 STK</v>
      </c>
      <c r="Q70" s="191" t="str">
        <f>ROUNDUP($A70,0) &amp;" " &amp; Formeln!$A$111</f>
        <v>0 STK</v>
      </c>
      <c r="T70" s="46">
        <v>110240</v>
      </c>
      <c r="U70" s="46">
        <v>110241</v>
      </c>
      <c r="V70" s="46">
        <v>110242</v>
      </c>
      <c r="W70" s="46">
        <v>110243</v>
      </c>
      <c r="X70" s="46">
        <v>110244</v>
      </c>
      <c r="Y70" s="46">
        <v>110245</v>
      </c>
      <c r="Z70" s="46">
        <v>110246</v>
      </c>
      <c r="AA70" s="46">
        <v>110247</v>
      </c>
      <c r="AB70" s="46">
        <v>110248</v>
      </c>
      <c r="AC70" s="46">
        <v>110249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si="4"/>
        <v>0</v>
      </c>
      <c r="E71" s="250" t="str">
        <f>VLOOKUP("Entlüftungshaube 100",Sprachindex!A:Z,Info!$O$6,FALSE)</f>
        <v>Entlüftungshaube 100</v>
      </c>
      <c r="F71" s="251"/>
      <c r="G71" s="251"/>
      <c r="H71" s="251"/>
      <c r="I71" s="251"/>
      <c r="J71" s="251"/>
      <c r="K71" s="257"/>
      <c r="L71" s="96" t="str">
        <f t="shared" si="0"/>
        <v/>
      </c>
      <c r="M71" s="102"/>
      <c r="P71" s="191" t="str">
        <f>ROUNDUP($A71,0) &amp;" " &amp; Formeln!$A$111</f>
        <v>0 STK</v>
      </c>
      <c r="Q71" s="191" t="str">
        <f>ROUNDUP($A71,0) &amp;" " &amp; Formeln!$A$111</f>
        <v>0 STK</v>
      </c>
      <c r="T71" s="46">
        <v>110280</v>
      </c>
      <c r="U71" s="46">
        <v>110281</v>
      </c>
      <c r="V71" s="46">
        <v>110282</v>
      </c>
      <c r="W71" s="46">
        <v>110283</v>
      </c>
      <c r="X71" s="46">
        <v>110284</v>
      </c>
      <c r="Y71" s="46">
        <v>110285</v>
      </c>
      <c r="Z71" s="46">
        <v>110286</v>
      </c>
      <c r="AA71" s="46">
        <v>110287</v>
      </c>
      <c r="AB71" s="46">
        <v>110288</v>
      </c>
      <c r="AC71" s="46">
        <v>110289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4"/>
        <v>0</v>
      </c>
      <c r="E72" s="250" t="str">
        <f>VLOOKUP("Entlüftungsrohr DM 100",Sprachindex!A:Z,Info!$O$6,FALSE)</f>
        <v>Entlüftungsrohr DM 100</v>
      </c>
      <c r="F72" s="251"/>
      <c r="G72" s="251"/>
      <c r="H72" s="251"/>
      <c r="I72" s="251"/>
      <c r="J72" s="251"/>
      <c r="K72" s="257"/>
      <c r="L72" s="96" t="str">
        <f t="shared" si="0"/>
        <v/>
      </c>
      <c r="M72" s="102"/>
      <c r="P72" s="191" t="str">
        <f>ROUNDUP($A72,0) &amp;" " &amp; Formeln!$A$111</f>
        <v>0 STK</v>
      </c>
      <c r="Q72" s="191" t="str">
        <f>ROUNDUP($A72,0) &amp;" " &amp; Formeln!$A$111</f>
        <v>0 STK</v>
      </c>
      <c r="T72" s="46">
        <v>110200</v>
      </c>
      <c r="U72" s="46">
        <v>110201</v>
      </c>
      <c r="V72" s="46">
        <v>110202</v>
      </c>
      <c r="W72" s="46">
        <v>110203</v>
      </c>
      <c r="X72" s="46">
        <v>110204</v>
      </c>
      <c r="Y72" s="46">
        <v>110205</v>
      </c>
      <c r="Z72" s="46">
        <v>110206</v>
      </c>
      <c r="AA72" s="46">
        <v>110207</v>
      </c>
      <c r="AB72" s="46">
        <v>110208</v>
      </c>
      <c r="AC72" s="46">
        <v>121015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4"/>
        <v>0</v>
      </c>
      <c r="E73" s="250" t="str">
        <f>VLOOKUP("Entlüftungsrohr DM 120",Sprachindex!A:Z,Info!$O$6,FALSE)</f>
        <v>Entlüftungsrohr DM 120</v>
      </c>
      <c r="F73" s="251"/>
      <c r="G73" s="251"/>
      <c r="H73" s="251"/>
      <c r="I73" s="251"/>
      <c r="J73" s="251"/>
      <c r="K73" s="257"/>
      <c r="L73" s="96" t="str">
        <f t="shared" si="0"/>
        <v/>
      </c>
      <c r="M73" s="102"/>
      <c r="P73" s="191" t="str">
        <f>ROUNDUP($A73,0) &amp;" " &amp; Formeln!$A$111</f>
        <v>0 STK</v>
      </c>
      <c r="Q73" s="191" t="str">
        <f>ROUNDUP($A73,0) &amp;" " &amp; Formeln!$A$111</f>
        <v>0 STK</v>
      </c>
      <c r="T73" s="46">
        <v>110210</v>
      </c>
      <c r="U73" s="46">
        <v>110211</v>
      </c>
      <c r="V73" s="46">
        <v>110212</v>
      </c>
      <c r="W73" s="46">
        <v>110213</v>
      </c>
      <c r="X73" s="46">
        <v>110214</v>
      </c>
      <c r="Y73" s="46">
        <v>110215</v>
      </c>
      <c r="Z73" s="46">
        <v>110216</v>
      </c>
      <c r="AA73" s="46">
        <v>110217</v>
      </c>
      <c r="AB73" s="46">
        <v>110218</v>
      </c>
      <c r="AC73" s="46">
        <v>121025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100">
        <v>340943</v>
      </c>
      <c r="E74" s="250" t="str">
        <f>VLOOKUP("Faltmanschette 100",Sprachindex!A:Z,Info!$O$6,FALSE)</f>
        <v>Faltmanschette 100</v>
      </c>
      <c r="F74" s="251"/>
      <c r="G74" s="251"/>
      <c r="H74" s="251"/>
      <c r="I74" s="251"/>
      <c r="J74" s="251"/>
      <c r="K74" s="257"/>
      <c r="L74" s="96" t="str">
        <f t="shared" si="0"/>
        <v/>
      </c>
      <c r="M74" s="102"/>
      <c r="P74" s="191" t="str">
        <f>ROUNDUP($A74,0) &amp;" " &amp; Formeln!$A$111</f>
        <v>0 STK</v>
      </c>
      <c r="Q74" s="191" t="str">
        <f>ROUNDUP($A74,0) &amp;" " &amp; Formeln!$A$111</f>
        <v>0 STK</v>
      </c>
      <c r="T74" s="49" t="s">
        <v>29</v>
      </c>
      <c r="U74" s="49" t="s">
        <v>30</v>
      </c>
      <c r="V74" s="49" t="s">
        <v>31</v>
      </c>
      <c r="W74" s="49" t="s">
        <v>32</v>
      </c>
      <c r="X74" s="49" t="s">
        <v>33</v>
      </c>
      <c r="Y74" s="49" t="s">
        <v>34</v>
      </c>
      <c r="Z74" s="49" t="s">
        <v>35</v>
      </c>
      <c r="AA74" s="49" t="s">
        <v>36</v>
      </c>
      <c r="AB74" s="49" t="s">
        <v>37</v>
      </c>
      <c r="AC74" s="49" t="s">
        <v>38</v>
      </c>
      <c r="AD74" s="49" t="s">
        <v>29</v>
      </c>
      <c r="AE74" s="49" t="s">
        <v>30</v>
      </c>
      <c r="AF74" s="49" t="s">
        <v>31</v>
      </c>
      <c r="AG74" s="49" t="s">
        <v>32</v>
      </c>
      <c r="AH74" s="49" t="s">
        <v>33</v>
      </c>
      <c r="AI74" s="49" t="s">
        <v>34</v>
      </c>
      <c r="AJ74" s="49" t="s">
        <v>35</v>
      </c>
      <c r="AK74" s="49" t="s">
        <v>36</v>
      </c>
      <c r="AL74" s="49" t="s">
        <v>37</v>
      </c>
      <c r="AM74" s="49" t="s">
        <v>38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>IF(AND($N$9=2,$N$21=1),T75,IF(AND($N$9=2,$N$21=4),U75,IF(AND($N$9=2,$N$21=5),V75,IF(AND($N$9=2,$N$21=11),W75,IF(AND($N$9=2,$N$21=7),X75,IF(AND($N$9=2,$N$21=3),Y75,IF(AND($N$9=2,$N$21=6),Z75,IF(AND($N$9=2,$N$21=9),AA75,IF(AND($N$9=2,$N$21=2),AB75,IF(AND($N$9=2,$N$21=8),AC75,IF(AND($N$9=1,$N$21=1),AD75,IF(AND($N$9=1,$N$21=1),AD75,IF(AND($N$9=1,$N$21=4),AE75,IF(AND($N$9=1,$N$21=5),AF75,IF(AND($N$9=1,$N$21=11),AG75,IF(AND($N$9=1,$N$21=7),AH75,IF(AND($N$9=1,$N$21=3),AI75,IF(AND($N$9=1,$N$21=6),AJ75,IF(AND($N$9=1,$N$21=9),AK75,IF(AND($N$9=1,$N$21=2),AL75,IF(AND($N$9=1,$N$21=8),AM75,0)))))))))))))))))))))</f>
        <v>0</v>
      </c>
      <c r="E75" s="250" t="str">
        <f>VLOOKUP("Unterlagsplatte, für DS, DR29, DP, R.16, FX.12",Sprachindex!A:Z,Info!$O$6,FALSE)</f>
        <v>Unterlagsplatte, für DS, DR29, DP, R.16, FX.12</v>
      </c>
      <c r="F75" s="251"/>
      <c r="G75" s="251"/>
      <c r="H75" s="251"/>
      <c r="I75" s="251"/>
      <c r="J75" s="251"/>
      <c r="K75" s="257"/>
      <c r="L75" s="96" t="str">
        <f t="shared" si="0"/>
        <v/>
      </c>
      <c r="M75" s="102"/>
      <c r="P75" s="191" t="str">
        <f>ROUNDUP($A75/15,0)*15 &amp;" " &amp; Formeln!$A$111</f>
        <v>0 STK</v>
      </c>
      <c r="Q75" s="191" t="str">
        <f>ROUNDUP($A75,0) &amp;" " &amp; Formeln!$A$111</f>
        <v>0 STK</v>
      </c>
      <c r="T75" s="46">
        <v>110360</v>
      </c>
      <c r="U75" s="46">
        <v>110361</v>
      </c>
      <c r="V75" s="46">
        <v>110362</v>
      </c>
      <c r="W75" s="46">
        <v>110363</v>
      </c>
      <c r="X75" s="46">
        <v>110364</v>
      </c>
      <c r="Y75" s="46">
        <v>110365</v>
      </c>
      <c r="Z75" s="46">
        <v>110366</v>
      </c>
      <c r="AA75" s="46">
        <v>110367</v>
      </c>
      <c r="AB75" s="46">
        <v>110368</v>
      </c>
      <c r="AD75" s="46">
        <v>110370</v>
      </c>
      <c r="AE75" s="46">
        <v>110371</v>
      </c>
      <c r="AF75" s="46">
        <v>110372</v>
      </c>
      <c r="AG75" s="46">
        <v>110373</v>
      </c>
      <c r="AH75" s="46">
        <v>110374</v>
      </c>
      <c r="AI75" s="46">
        <v>110375</v>
      </c>
      <c r="AJ75" s="46">
        <v>110376</v>
      </c>
      <c r="AK75" s="46">
        <v>110377</v>
      </c>
      <c r="AL75" s="46">
        <v>110378</v>
      </c>
      <c r="AM75" s="1">
        <v>110379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95">
        <f t="shared" ref="D76:D89" si="5">IF($N$21=1,T76,IF($N$21=4,U76,IF($N$21=5,V76,IF($N$21=11,W76,IF($N$21=7,X76,IF($N$21=3,Y76,IF($N$21=6,Z76,IF($N$21=9,AA76,IF($N$21=2,AB76,IF($N$21=8,AC76,0))))))))))</f>
        <v>0</v>
      </c>
      <c r="E76" s="250" t="str">
        <f>VLOOKUP("Schneestopper, Typ FX12/R16/DS.19 ",Sprachindex!A:Z,Info!$O$6,FALSE)</f>
        <v xml:space="preserve">Schneestopper, Typ FX12/R16/DS.19 </v>
      </c>
      <c r="F76" s="251"/>
      <c r="G76" s="251"/>
      <c r="H76" s="251"/>
      <c r="I76" s="251"/>
      <c r="J76" s="251"/>
      <c r="K76" s="257"/>
      <c r="L76" s="96" t="str">
        <f t="shared" si="0"/>
        <v/>
      </c>
      <c r="M76" s="102"/>
      <c r="P76" s="191" t="str">
        <f>ROUNDUP($A76/100,0)*100 &amp;" " &amp; Formeln!$A$111</f>
        <v>0 STK</v>
      </c>
      <c r="Q76" s="191" t="str">
        <f>ROUNDUP($A76,0) &amp;" " &amp; Formeln!$A$111</f>
        <v>0 STK</v>
      </c>
      <c r="T76" s="46">
        <v>112041</v>
      </c>
      <c r="U76" s="46">
        <v>112042</v>
      </c>
      <c r="V76" s="46">
        <v>112043</v>
      </c>
      <c r="W76" s="46">
        <v>112044</v>
      </c>
      <c r="X76" s="46">
        <v>112045</v>
      </c>
      <c r="Y76" s="46">
        <v>112046</v>
      </c>
      <c r="Z76" s="46">
        <v>112048</v>
      </c>
      <c r="AA76" s="46">
        <v>112047</v>
      </c>
      <c r="AB76" s="46">
        <v>112049</v>
      </c>
      <c r="AC76" s="46">
        <v>112050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 t="shared" si="5"/>
        <v>0</v>
      </c>
      <c r="E77" s="250" t="str">
        <f>VLOOKUP("Haken für Schneerechensystem, inkl. Befestigungsmaterial",Sprachindex!A:Z,Info!$O$6,FALSE)</f>
        <v>Haken für Schneerechensystem, inkl. Befestigungsmaterial</v>
      </c>
      <c r="F77" s="251"/>
      <c r="G77" s="251"/>
      <c r="H77" s="251"/>
      <c r="I77" s="251"/>
      <c r="J77" s="251"/>
      <c r="K77" s="257"/>
      <c r="L77" s="96" t="str">
        <f t="shared" si="0"/>
        <v/>
      </c>
      <c r="M77" s="102"/>
      <c r="P77" s="191" t="str">
        <f>ROUNDUP($A77/2,0)*2 &amp;" " &amp; Formeln!$A$111</f>
        <v>0 STK</v>
      </c>
      <c r="Q77" s="191" t="str">
        <f>ROUNDUP($A77,0) &amp;" " &amp; Formeln!$A$111</f>
        <v>0 STK</v>
      </c>
      <c r="T77" s="46">
        <v>120180</v>
      </c>
      <c r="U77" s="46">
        <v>120181</v>
      </c>
      <c r="V77" s="46">
        <v>120182</v>
      </c>
      <c r="W77" s="46">
        <v>120183</v>
      </c>
      <c r="X77" s="46">
        <v>120184</v>
      </c>
      <c r="Y77" s="46">
        <v>120185</v>
      </c>
      <c r="Z77" s="46">
        <v>120186</v>
      </c>
      <c r="AA77" s="46">
        <v>120187</v>
      </c>
      <c r="AB77" s="46">
        <v>120188</v>
      </c>
      <c r="AC77" s="46">
        <v>120189</v>
      </c>
    </row>
    <row r="78" spans="1:39" ht="32.1" customHeight="1">
      <c r="A78" s="118"/>
      <c r="B78" s="96" t="str">
        <f>VLOOKUP("lfm",Sprachindex!A:Z,Info!$O$6,FALSE)</f>
        <v>lfm</v>
      </c>
      <c r="C78" s="98"/>
      <c r="D78" s="95">
        <f t="shared" si="5"/>
        <v>0</v>
      </c>
      <c r="E78" s="250" t="str">
        <f>VLOOKUP("Einlegeprofil f.Schneerechensystem, 3m",Sprachindex!A:Z,Info!$O$6,FALSE)</f>
        <v>Einlegeprofil f.Schneerechensystem, 3m</v>
      </c>
      <c r="F78" s="251"/>
      <c r="G78" s="251"/>
      <c r="H78" s="251"/>
      <c r="I78" s="251"/>
      <c r="J78" s="251"/>
      <c r="K78" s="257"/>
      <c r="L78" s="96" t="str">
        <f t="shared" si="0"/>
        <v/>
      </c>
      <c r="M78" s="102"/>
      <c r="P78" s="191" t="str">
        <f>ROUNDUP($A78/3,0)*3 &amp;" " &amp; Formeln!$A$112 &amp; "                " &amp; "(="&amp;ROUNDUP($A78/3,0) &amp; " " &amp;Formeln!$A$111 &amp; ")"</f>
        <v>0 lfm                (=0 STK)</v>
      </c>
      <c r="Q78" s="191" t="str">
        <f>ROUNDUP($A78/3,0)*3 &amp;" " &amp; Formeln!$A$112 &amp; "                " &amp; "(="&amp;ROUNDUP($A78/3,0) &amp; " " &amp;Formeln!$A$111 &amp; ")"</f>
        <v>0 lfm                (=0 STK)</v>
      </c>
      <c r="T78" s="46">
        <v>120350</v>
      </c>
      <c r="U78" s="46">
        <v>120351</v>
      </c>
      <c r="V78" s="46">
        <v>120352</v>
      </c>
      <c r="W78" s="46">
        <v>120353</v>
      </c>
      <c r="X78" s="46">
        <v>120354</v>
      </c>
      <c r="Y78" s="46">
        <v>120355</v>
      </c>
      <c r="Z78" s="46">
        <v>120356</v>
      </c>
      <c r="AA78" s="46">
        <v>120357</v>
      </c>
      <c r="AB78" s="46">
        <v>120358</v>
      </c>
      <c r="AC78" s="46">
        <v>120359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 t="shared" si="5"/>
        <v>0</v>
      </c>
      <c r="E79" s="250" t="str">
        <f>VLOOKUP("Eiskralle f. Einlegeprofil",Sprachindex!A:Z,Info!$O$6,FALSE)</f>
        <v>Eiskralle f. Einlegeprofil</v>
      </c>
      <c r="F79" s="251"/>
      <c r="G79" s="251"/>
      <c r="H79" s="251"/>
      <c r="I79" s="251"/>
      <c r="J79" s="251"/>
      <c r="K79" s="257"/>
      <c r="L79" s="96" t="str">
        <f t="shared" si="0"/>
        <v/>
      </c>
      <c r="M79" s="102"/>
      <c r="P79" s="191" t="str">
        <f>ROUNDUP($A79/100,0)*100 &amp;" " &amp; Formeln!$A$111</f>
        <v>0 STK</v>
      </c>
      <c r="Q79" s="191" t="str">
        <f>ROUNDUP($A79,0) &amp;" " &amp; Formeln!$A$111</f>
        <v>0 STK</v>
      </c>
      <c r="T79" s="46">
        <v>120700</v>
      </c>
      <c r="U79" s="46">
        <v>120701</v>
      </c>
      <c r="V79" s="46">
        <v>120702</v>
      </c>
      <c r="W79" s="46">
        <v>120703</v>
      </c>
      <c r="X79" s="46">
        <v>120704</v>
      </c>
      <c r="Y79" s="46">
        <v>120705</v>
      </c>
      <c r="Z79" s="46">
        <v>120706</v>
      </c>
      <c r="AA79" s="46">
        <v>120707</v>
      </c>
      <c r="AB79" s="46">
        <v>120708</v>
      </c>
      <c r="AC79" s="46">
        <v>120709</v>
      </c>
    </row>
    <row r="80" spans="1:39" ht="32.1" customHeight="1">
      <c r="A80" s="118"/>
      <c r="B80" s="96" t="str">
        <f>VLOOKUP("Stk",Sprachindex!A:Z,Info!$O$6,FALSE)</f>
        <v>STK</v>
      </c>
      <c r="C80" s="98"/>
      <c r="D80" s="95">
        <f t="shared" si="5"/>
        <v>0</v>
      </c>
      <c r="E80" s="250" t="str">
        <f>VLOOKUP("Abschluss f. Schneerechensystem",Sprachindex!A:Z,Info!$O$6,FALSE)</f>
        <v>Abschluss f. Schneerechensystem</v>
      </c>
      <c r="F80" s="251"/>
      <c r="G80" s="251"/>
      <c r="H80" s="251"/>
      <c r="I80" s="251"/>
      <c r="J80" s="251"/>
      <c r="K80" s="257"/>
      <c r="L80" s="96" t="str">
        <f t="shared" si="0"/>
        <v/>
      </c>
      <c r="M80" s="102"/>
      <c r="P80" s="191" t="str">
        <f>ROUNDUP($A80/2,0)*2 &amp;" " &amp; Formeln!$A$111</f>
        <v>0 STK</v>
      </c>
      <c r="Q80" s="191" t="str">
        <f>ROUNDUP($A80,0) &amp;" " &amp; Formeln!$A$111</f>
        <v>0 STK</v>
      </c>
      <c r="T80" s="46">
        <v>120390</v>
      </c>
      <c r="U80" s="46">
        <v>120391</v>
      </c>
      <c r="V80" s="46">
        <v>120392</v>
      </c>
      <c r="W80" s="46">
        <v>120393</v>
      </c>
      <c r="X80" s="46">
        <v>120394</v>
      </c>
      <c r="Y80" s="46">
        <v>120395</v>
      </c>
      <c r="Z80" s="46">
        <v>120396</v>
      </c>
      <c r="AA80" s="46">
        <v>120397</v>
      </c>
      <c r="AB80" s="46">
        <v>120398</v>
      </c>
      <c r="AC80" s="46">
        <v>120399</v>
      </c>
    </row>
    <row r="81" spans="1:39" ht="32.1" customHeight="1">
      <c r="A81" s="118"/>
      <c r="B81" s="96" t="str">
        <f>VLOOKUP("Stk",Sprachindex!A:Z,Info!$O$6,FALSE)</f>
        <v>STK</v>
      </c>
      <c r="C81" s="98"/>
      <c r="D81" s="95">
        <f t="shared" si="5"/>
        <v>0</v>
      </c>
      <c r="E81" s="250" t="str">
        <f>VLOOKUP("Gebirgsschneefangstütze, inkl. Befestigungsmaterial",Sprachindex!A:Z,Info!$O$6,FALSE)</f>
        <v>Gebirgsschneefangstütze, inkl. Befestigungsmaterial</v>
      </c>
      <c r="F81" s="251"/>
      <c r="G81" s="251"/>
      <c r="H81" s="251"/>
      <c r="I81" s="251"/>
      <c r="J81" s="251"/>
      <c r="K81" s="257"/>
      <c r="L81" s="96" t="str">
        <f t="shared" si="0"/>
        <v/>
      </c>
      <c r="M81" s="102"/>
      <c r="P81" s="191" t="str">
        <f>ROUNDUP($A81/2,0)*2 &amp;" " &amp; Formeln!$A$111</f>
        <v>0 STK</v>
      </c>
      <c r="Q81" s="191" t="str">
        <f>ROUNDUP($A81,0) &amp;" " &amp; Formeln!$A$111</f>
        <v>0 STK</v>
      </c>
      <c r="T81" s="46">
        <v>120150</v>
      </c>
      <c r="U81" s="46">
        <v>120151</v>
      </c>
      <c r="V81" s="46">
        <v>120152</v>
      </c>
      <c r="W81" s="46">
        <v>120153</v>
      </c>
      <c r="X81" s="46">
        <v>120154</v>
      </c>
      <c r="Y81" s="46">
        <v>120155</v>
      </c>
      <c r="Z81" s="46">
        <v>120156</v>
      </c>
      <c r="AA81" s="46">
        <v>120157</v>
      </c>
      <c r="AB81" s="46">
        <v>120158</v>
      </c>
      <c r="AC81" s="46">
        <v>120159</v>
      </c>
    </row>
    <row r="82" spans="1:39" ht="32.1" customHeight="1">
      <c r="A82" s="118"/>
      <c r="B82" s="96" t="str">
        <f>VLOOKUP("Stk",Sprachindex!A:Z,Info!$O$6,FALSE)</f>
        <v>STK</v>
      </c>
      <c r="C82" s="98"/>
      <c r="D82" s="95">
        <f t="shared" si="5"/>
        <v>0</v>
      </c>
      <c r="E82" s="250" t="str">
        <f>VLOOKUP("Kaminhut, inkl. Kaminstreben, 700x700mm",Sprachindex!A:Z,Info!$O$6,FALSE)</f>
        <v>Kaminhut, inkl. Kaminstreben, 700x700mm</v>
      </c>
      <c r="F82" s="251"/>
      <c r="G82" s="251"/>
      <c r="H82" s="251"/>
      <c r="I82" s="251"/>
      <c r="J82" s="251"/>
      <c r="K82" s="257"/>
      <c r="L82" s="96" t="str">
        <f t="shared" si="0"/>
        <v/>
      </c>
      <c r="M82" s="102"/>
      <c r="P82" s="191" t="str">
        <f>ROUNDUP($A82,0) &amp;" " &amp; Formeln!$A$111</f>
        <v>0 STK</v>
      </c>
      <c r="Q82" s="191" t="str">
        <f>ROUNDUP($A82,0) &amp;" " &amp; Formeln!$A$111</f>
        <v>0 STK</v>
      </c>
      <c r="T82" s="46">
        <v>110420</v>
      </c>
      <c r="U82" s="46">
        <v>110421</v>
      </c>
      <c r="V82" s="46">
        <v>110422</v>
      </c>
      <c r="W82" s="46">
        <v>110423</v>
      </c>
      <c r="X82" s="46">
        <v>110424</v>
      </c>
      <c r="Y82" s="46">
        <v>110425</v>
      </c>
      <c r="Z82" s="46">
        <v>110426</v>
      </c>
      <c r="AA82" s="46">
        <v>110427</v>
      </c>
      <c r="AB82" s="46">
        <v>110428</v>
      </c>
      <c r="AC82" s="46">
        <v>110429</v>
      </c>
    </row>
    <row r="83" spans="1:39" ht="32.1" customHeight="1">
      <c r="A83" s="118"/>
      <c r="B83" s="96" t="str">
        <f>VLOOKUP("Stk",Sprachindex!A:Z,Info!$O$6,FALSE)</f>
        <v>STK</v>
      </c>
      <c r="C83" s="98"/>
      <c r="D83" s="95">
        <f t="shared" si="5"/>
        <v>0</v>
      </c>
      <c r="E83" s="250" t="str">
        <f>VLOOKUP("Kaminhut, inkl. Kaminstreben, 800x800mm",Sprachindex!A:Z,Info!$O$6,FALSE)</f>
        <v>Kaminhut, inkl. Kaminstreben, 800x800mm</v>
      </c>
      <c r="F83" s="251"/>
      <c r="G83" s="251"/>
      <c r="H83" s="251"/>
      <c r="I83" s="251"/>
      <c r="J83" s="251"/>
      <c r="K83" s="257"/>
      <c r="L83" s="96" t="str">
        <f t="shared" si="0"/>
        <v/>
      </c>
      <c r="M83" s="102"/>
      <c r="P83" s="191" t="str">
        <f>ROUNDUP($A83,0) &amp;" " &amp; Formeln!$A$111</f>
        <v>0 STK</v>
      </c>
      <c r="Q83" s="191" t="str">
        <f>ROUNDUP($A83,0) &amp;" " &amp; Formeln!$A$111</f>
        <v>0 STK</v>
      </c>
      <c r="T83" s="46">
        <v>110430</v>
      </c>
      <c r="U83" s="46">
        <v>110431</v>
      </c>
      <c r="V83" s="46">
        <v>110432</v>
      </c>
      <c r="W83" s="46">
        <v>110433</v>
      </c>
      <c r="X83" s="46">
        <v>110434</v>
      </c>
      <c r="Y83" s="46">
        <v>110435</v>
      </c>
      <c r="Z83" s="46">
        <v>110436</v>
      </c>
      <c r="AA83" s="46">
        <v>110437</v>
      </c>
      <c r="AB83" s="46">
        <v>110438</v>
      </c>
      <c r="AC83" s="46">
        <v>110439</v>
      </c>
    </row>
    <row r="84" spans="1:39" ht="32.1" customHeight="1">
      <c r="A84" s="118"/>
      <c r="B84" s="96" t="str">
        <f>VLOOKUP("Stk",Sprachindex!A:Z,Info!$O$6,FALSE)</f>
        <v>STK</v>
      </c>
      <c r="C84" s="98"/>
      <c r="D84" s="95">
        <f t="shared" si="5"/>
        <v>0</v>
      </c>
      <c r="E84" s="250" t="str">
        <f>VLOOKUP("Kaminhut, inkl. Kaminstreben, 1000x700mm",Sprachindex!A:Z,Info!$O$6,FALSE)</f>
        <v>Kaminhut, inkl. Kaminstreben, 1000x700mm</v>
      </c>
      <c r="F84" s="251"/>
      <c r="G84" s="251"/>
      <c r="H84" s="251"/>
      <c r="I84" s="251"/>
      <c r="J84" s="251"/>
      <c r="K84" s="257"/>
      <c r="L84" s="96" t="str">
        <f t="shared" si="0"/>
        <v/>
      </c>
      <c r="M84" s="102"/>
      <c r="P84" s="191" t="str">
        <f>ROUNDUP($A84,0) &amp;" " &amp; Formeln!$A$111</f>
        <v>0 STK</v>
      </c>
      <c r="Q84" s="191" t="str">
        <f>ROUNDUP($A84,0) &amp;" " &amp; Formeln!$A$111</f>
        <v>0 STK</v>
      </c>
      <c r="T84" s="46">
        <v>110440</v>
      </c>
      <c r="U84" s="46">
        <v>110441</v>
      </c>
      <c r="V84" s="46">
        <v>110442</v>
      </c>
      <c r="W84" s="46">
        <v>110443</v>
      </c>
      <c r="X84" s="46">
        <v>110444</v>
      </c>
      <c r="Y84" s="46">
        <v>110445</v>
      </c>
      <c r="Z84" s="46">
        <v>110446</v>
      </c>
      <c r="AA84" s="46">
        <v>110447</v>
      </c>
      <c r="AB84" s="46">
        <v>110448</v>
      </c>
      <c r="AC84" s="46">
        <v>110449</v>
      </c>
    </row>
    <row r="85" spans="1:39" ht="32.1" customHeight="1">
      <c r="A85" s="118"/>
      <c r="B85" s="96" t="str">
        <f>VLOOKUP("Stk",Sprachindex!A:Z,Info!$O$6,FALSE)</f>
        <v>STK</v>
      </c>
      <c r="C85" s="98"/>
      <c r="D85" s="95">
        <f t="shared" si="5"/>
        <v>0</v>
      </c>
      <c r="E85" s="250" t="str">
        <f>VLOOKUP("Kaminhut, inkl. Kaminstreben, 1100x800mm",Sprachindex!A:Z,Info!$O$6,FALSE)</f>
        <v>Kaminhut, inkl. Kaminstreben, 1100x800mm</v>
      </c>
      <c r="F85" s="251"/>
      <c r="G85" s="251"/>
      <c r="H85" s="251"/>
      <c r="I85" s="251"/>
      <c r="J85" s="251"/>
      <c r="K85" s="257"/>
      <c r="L85" s="96" t="str">
        <f t="shared" si="0"/>
        <v/>
      </c>
      <c r="M85" s="102"/>
      <c r="P85" s="191" t="str">
        <f>ROUNDUP($A85,0) &amp;" " &amp; Formeln!$A$111</f>
        <v>0 STK</v>
      </c>
      <c r="Q85" s="191" t="str">
        <f>ROUNDUP($A85,0) &amp;" " &amp; Formeln!$A$111</f>
        <v>0 STK</v>
      </c>
      <c r="T85" s="46">
        <v>110450</v>
      </c>
      <c r="U85" s="46">
        <v>110451</v>
      </c>
      <c r="V85" s="46">
        <v>110452</v>
      </c>
      <c r="W85" s="46">
        <v>110453</v>
      </c>
      <c r="X85" s="46">
        <v>110454</v>
      </c>
      <c r="Y85" s="46">
        <v>110455</v>
      </c>
      <c r="Z85" s="46">
        <v>110456</v>
      </c>
      <c r="AA85" s="46">
        <v>110457</v>
      </c>
      <c r="AB85" s="46">
        <v>110458</v>
      </c>
      <c r="AC85" s="46">
        <v>110459</v>
      </c>
    </row>
    <row r="86" spans="1:39" ht="32.1" customHeight="1">
      <c r="A86" s="118"/>
      <c r="B86" s="96" t="str">
        <f>VLOOKUP("Stk",Sprachindex!A:Z,Info!$O$6,FALSE)</f>
        <v>STK</v>
      </c>
      <c r="C86" s="98"/>
      <c r="D86" s="95">
        <f t="shared" si="5"/>
        <v>0</v>
      </c>
      <c r="E86" s="250" t="str">
        <f>VLOOKUP("Kaminhut, inkl. Kaminstreben, 1500x800mm",Sprachindex!A:Z,Info!$O$6,FALSE)</f>
        <v>Kaminhut, inkl. Kaminstreben, 1500x800mm</v>
      </c>
      <c r="F86" s="251"/>
      <c r="G86" s="251"/>
      <c r="H86" s="251"/>
      <c r="I86" s="251"/>
      <c r="J86" s="251"/>
      <c r="K86" s="257"/>
      <c r="L86" s="96" t="str">
        <f t="shared" si="0"/>
        <v/>
      </c>
      <c r="M86" s="102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110460</v>
      </c>
      <c r="U86" s="46">
        <v>110461</v>
      </c>
      <c r="V86" s="46">
        <v>110462</v>
      </c>
      <c r="W86" s="46">
        <v>110463</v>
      </c>
      <c r="X86" s="46">
        <v>110464</v>
      </c>
      <c r="Y86" s="46">
        <v>110465</v>
      </c>
      <c r="Z86" s="46">
        <v>110466</v>
      </c>
      <c r="AA86" s="46">
        <v>110467</v>
      </c>
      <c r="AB86" s="46">
        <v>110468</v>
      </c>
      <c r="AC86" s="46">
        <v>110469</v>
      </c>
    </row>
    <row r="87" spans="1:39" ht="32.1" customHeight="1">
      <c r="A87" s="118"/>
      <c r="B87" s="96" t="str">
        <f>VLOOKUP("Stk",Sprachindex!A:Z,Info!$O$6,FALSE)</f>
        <v>STK</v>
      </c>
      <c r="C87" s="98"/>
      <c r="D87" s="95">
        <f t="shared" si="5"/>
        <v>0</v>
      </c>
      <c r="E87" s="250" t="str">
        <f>VLOOKUP("Kaminstreben, gebogen",Sprachindex!A:Z,Info!$O$6,FALSE)</f>
        <v>Kaminstreben, gebogen</v>
      </c>
      <c r="F87" s="251"/>
      <c r="G87" s="251"/>
      <c r="H87" s="251"/>
      <c r="I87" s="251"/>
      <c r="J87" s="251"/>
      <c r="K87" s="257"/>
      <c r="L87" s="96" t="str">
        <f t="shared" si="0"/>
        <v/>
      </c>
      <c r="M87" s="102"/>
      <c r="P87" s="191" t="str">
        <f>ROUNDUP($A87/10,0)*10 &amp;" " &amp; Formeln!$A$111</f>
        <v>0 STK</v>
      </c>
      <c r="Q87" s="191" t="str">
        <f>ROUNDUP($A87,0) &amp;" " &amp; Formeln!$A$111</f>
        <v>0 STK</v>
      </c>
      <c r="T87" s="46">
        <v>110410</v>
      </c>
      <c r="U87" s="46">
        <v>110411</v>
      </c>
      <c r="V87" s="46">
        <v>110412</v>
      </c>
      <c r="W87" s="46">
        <v>110413</v>
      </c>
      <c r="X87" s="46">
        <v>110414</v>
      </c>
      <c r="Y87" s="46">
        <v>110415</v>
      </c>
      <c r="Z87" s="46">
        <v>110416</v>
      </c>
      <c r="AA87" s="46">
        <v>110417</v>
      </c>
      <c r="AB87" s="46">
        <v>110418</v>
      </c>
      <c r="AC87" s="46">
        <v>110419</v>
      </c>
    </row>
    <row r="88" spans="1:39" ht="32.1" customHeight="1">
      <c r="A88" s="118"/>
      <c r="B88" s="96" t="str">
        <f>VLOOKUP("lfm",Sprachindex!A:Z,Info!$O$6,FALSE)</f>
        <v>lfm</v>
      </c>
      <c r="C88" s="98"/>
      <c r="D88" s="95">
        <f t="shared" si="5"/>
        <v>0</v>
      </c>
      <c r="E88" s="250" t="str">
        <f>VLOOKUP("Kaminstreben, 7x35x3000mm",Sprachindex!A:Z,Info!$O$6,FALSE)</f>
        <v>Kaminstreben, 7x35x3000mm</v>
      </c>
      <c r="F88" s="251"/>
      <c r="G88" s="251"/>
      <c r="H88" s="251"/>
      <c r="I88" s="251"/>
      <c r="J88" s="251"/>
      <c r="K88" s="257"/>
      <c r="L88" s="96" t="str">
        <f t="shared" si="0"/>
        <v/>
      </c>
      <c r="M88" s="102"/>
      <c r="P88" s="191" t="str">
        <f>ROUNDUP($A88/3,0)*3 &amp;" " &amp; Formeln!$A$112 &amp; "                " &amp; "(="&amp;ROUNDUP($A88/3,0) &amp; " " &amp;Formeln!$A$111 &amp; ")"</f>
        <v>0 lfm                (=0 STK)</v>
      </c>
      <c r="Q88" s="191" t="str">
        <f>ROUNDUP($A88/3,0)*3 &amp;" " &amp; Formeln!$A$112 &amp; "                " &amp; "(="&amp;ROUNDUP($A88/3,0) &amp; " " &amp;Formeln!$A$111 &amp; ")"</f>
        <v>0 lfm                (=0 STK)</v>
      </c>
      <c r="T88" s="46">
        <v>110400</v>
      </c>
      <c r="U88" s="46">
        <v>110401</v>
      </c>
      <c r="V88" s="46">
        <v>110402</v>
      </c>
      <c r="W88" s="46">
        <v>110403</v>
      </c>
      <c r="X88" s="46">
        <v>110404</v>
      </c>
      <c r="Y88" s="46">
        <v>110405</v>
      </c>
      <c r="Z88" s="46">
        <v>110406</v>
      </c>
      <c r="AA88" s="46">
        <v>110407</v>
      </c>
      <c r="AB88" s="46">
        <v>110408</v>
      </c>
      <c r="AC88" s="140" t="s">
        <v>50</v>
      </c>
    </row>
    <row r="89" spans="1:39" ht="32.1" customHeight="1">
      <c r="A89" s="118"/>
      <c r="B89" s="96" t="str">
        <f>VLOOKUP("Stk",Sprachindex!A:Z,Info!$O$6,FALSE)</f>
        <v>STK</v>
      </c>
      <c r="C89" s="98"/>
      <c r="D89" s="95">
        <f t="shared" si="5"/>
        <v>0</v>
      </c>
      <c r="E89" s="250" t="str">
        <f>VLOOKUP("Hauerbuckel ",Sprachindex!A:Z,Info!$O$6,FALSE)</f>
        <v xml:space="preserve">Hauerbuckel </v>
      </c>
      <c r="F89" s="251"/>
      <c r="G89" s="251"/>
      <c r="H89" s="251"/>
      <c r="I89" s="251"/>
      <c r="J89" s="251"/>
      <c r="K89" s="257"/>
      <c r="L89" s="96" t="str">
        <f t="shared" si="0"/>
        <v/>
      </c>
      <c r="M89" s="102"/>
      <c r="P89" s="191" t="str">
        <f>ROUNDUP($A89,0) &amp;" " &amp; Formeln!$A$111</f>
        <v>0 STK</v>
      </c>
      <c r="Q89" s="191" t="str">
        <f>ROUNDUP($A89,0) &amp;" " &amp; Formeln!$A$111</f>
        <v>0 STK</v>
      </c>
      <c r="T89" s="46">
        <v>112401</v>
      </c>
      <c r="U89" s="46">
        <v>112402</v>
      </c>
      <c r="V89" s="46">
        <v>112403</v>
      </c>
      <c r="W89" s="46">
        <v>112404</v>
      </c>
      <c r="X89" s="46">
        <v>112405</v>
      </c>
      <c r="Y89" s="46">
        <v>112406</v>
      </c>
      <c r="Z89" s="46">
        <v>112407</v>
      </c>
      <c r="AA89" s="46">
        <v>112408</v>
      </c>
      <c r="AB89" s="46">
        <v>112409</v>
      </c>
      <c r="AC89" s="46">
        <v>112410</v>
      </c>
    </row>
    <row r="90" spans="1:39" ht="32.1" customHeight="1">
      <c r="A90" s="118"/>
      <c r="B90" s="96" t="str">
        <f>VLOOKUP("Stk",Sprachindex!A:Z,Info!$O$6,FALSE)</f>
        <v>STK</v>
      </c>
      <c r="C90" s="98"/>
      <c r="D90" s="95">
        <v>340404</v>
      </c>
      <c r="E90" s="250" t="str">
        <f>VLOOKUP("Dachleitungshalter für Blitzschutzdraht",Sprachindex!A:Z,Info!$O$6,FALSE)</f>
        <v>Dachleitungshalter für Blitzschutzdraht</v>
      </c>
      <c r="F90" s="251"/>
      <c r="G90" s="251"/>
      <c r="H90" s="251"/>
      <c r="I90" s="251"/>
      <c r="J90" s="251"/>
      <c r="K90" s="257"/>
      <c r="L90" s="96" t="str">
        <f t="shared" si="0"/>
        <v/>
      </c>
      <c r="M90" s="102"/>
      <c r="P90" s="191" t="str">
        <f>ROUNDUP($A90/50,0)*50 &amp;" " &amp; Formeln!$A$111</f>
        <v>0 STK</v>
      </c>
      <c r="Q90" s="191" t="str">
        <f>ROUNDUP($A90,0) &amp;" " &amp; Formeln!$A$111</f>
        <v>0 STK</v>
      </c>
    </row>
    <row r="91" spans="1:39" ht="32.1" customHeight="1">
      <c r="A91" s="126"/>
      <c r="B91" s="96" t="str">
        <f>VLOOKUP("Stk",Sprachindex!A:Z,Info!$O$6,FALSE)</f>
        <v>STK</v>
      </c>
      <c r="C91" s="95"/>
      <c r="D91" s="95">
        <v>420501</v>
      </c>
      <c r="E91" s="258" t="str">
        <f>VLOOKUP("Spezialkleber",Sprachindex!A:Z,Info!$O$6,FALSE)</f>
        <v>Spezialkleber</v>
      </c>
      <c r="F91" s="259"/>
      <c r="G91" s="259"/>
      <c r="H91" s="259"/>
      <c r="I91" s="259"/>
      <c r="J91" s="259"/>
      <c r="K91" s="260"/>
      <c r="L91" s="96" t="str">
        <f t="shared" si="0"/>
        <v/>
      </c>
      <c r="M91" s="102"/>
      <c r="P91" s="191" t="str">
        <f>ROUNDUP($A91,0) &amp;" " &amp; Formeln!$A$111</f>
        <v>0 STK</v>
      </c>
      <c r="Q91" s="191" t="str">
        <f>ROUNDUP($A91,0) &amp;" " &amp; Formeln!$A$111</f>
        <v>0 STK</v>
      </c>
    </row>
    <row r="92" spans="1:39" ht="32.1" customHeight="1">
      <c r="A92" s="118"/>
      <c r="B92" s="96" t="str">
        <f>VLOOKUP("Set",Sprachindex!A:Z,Info!$O$6,FALSE)</f>
        <v>Set</v>
      </c>
      <c r="C92" s="98"/>
      <c r="D92" s="95">
        <v>420500</v>
      </c>
      <c r="E92" s="250" t="str">
        <f>VLOOKUP("Spezialkleber-Set",Sprachindex!A:Z,Info!$O$6,FALSE)</f>
        <v>Spezialkleber-Set</v>
      </c>
      <c r="F92" s="251"/>
      <c r="G92" s="251"/>
      <c r="H92" s="251"/>
      <c r="I92" s="251"/>
      <c r="J92" s="251"/>
      <c r="K92" s="257"/>
      <c r="L92" s="96" t="str">
        <f t="shared" si="0"/>
        <v/>
      </c>
      <c r="M92" s="102"/>
      <c r="P92" s="191" t="str">
        <f>ROUNDUP($A92,0) &amp;" " &amp; IF($A92&lt;=1,Formeln!$A$119,IF($A92&gt;1,Formeln!$A$120,""))</f>
        <v>0 Set</v>
      </c>
      <c r="Q92" s="191" t="str">
        <f>ROUNDUP($A92,0) &amp;" " &amp; IF($A92&lt;=1,Formeln!$A$119,IF($A92&gt;1,Formeln!$A$120,""))</f>
        <v>0 Set</v>
      </c>
    </row>
    <row r="93" spans="1:39" ht="32.1" customHeight="1">
      <c r="A93" s="126"/>
      <c r="B93" s="96" t="str">
        <f>VLOOKUP("Stk",Sprachindex!A:Z,Info!$O$6,FALSE)</f>
        <v>STK</v>
      </c>
      <c r="C93" s="95"/>
      <c r="D93" s="95">
        <v>340415</v>
      </c>
      <c r="E93" s="292" t="str">
        <f>VLOOKUP("SDH Schraubensatz f.Aufsparrendäm.",Sprachindex!A:Z,Info!$O$6,FALSE)</f>
        <v>SDH Schraubensatz f.Aufsparrendäm.</v>
      </c>
      <c r="F93" s="292"/>
      <c r="G93" s="292"/>
      <c r="H93" s="292"/>
      <c r="I93" s="292"/>
      <c r="J93" s="292"/>
      <c r="K93" s="292"/>
      <c r="L93" s="96" t="str">
        <f>IF($A93=0,"",IF($N$11=1,P93,Q93))</f>
        <v/>
      </c>
      <c r="M93" s="102"/>
      <c r="P93" s="191" t="str">
        <f>ROUNDUP($A93,0) &amp;" " &amp; Formeln!$A$111</f>
        <v>0 STK</v>
      </c>
      <c r="Q93" s="191" t="str">
        <f>ROUNDUP($A93,0) &amp;" " &amp; Formeln!$A$111</f>
        <v>0 STK</v>
      </c>
    </row>
    <row r="94" spans="1:39" ht="32.1" customHeight="1">
      <c r="A94" s="126"/>
      <c r="B94" s="96" t="str">
        <f>VLOOKUP("Stk",Sprachindex!A:Z,Info!$O$6,FALSE)</f>
        <v>STK</v>
      </c>
      <c r="C94" s="95"/>
      <c r="D94" s="95">
        <v>340416</v>
      </c>
      <c r="E94" s="292" t="str">
        <f>VLOOKUP("SDH Bohrsatz,für Aufsparrendämmung",Sprachindex!A:Z,Info!$O$6,FALSE)</f>
        <v>SDH Bohrsatz,für Aufsparrendämmung</v>
      </c>
      <c r="F94" s="292"/>
      <c r="G94" s="292"/>
      <c r="H94" s="292"/>
      <c r="I94" s="292"/>
      <c r="J94" s="292"/>
      <c r="K94" s="292"/>
      <c r="L94" s="96" t="str">
        <f>IF($A94=0,"",IF($N$11=1,P94,Q94))</f>
        <v/>
      </c>
      <c r="M94" s="102"/>
      <c r="P94" s="191" t="str">
        <f>ROUNDUP($A94,0) &amp;" " &amp; Formeln!$A$111</f>
        <v>0 STK</v>
      </c>
      <c r="Q94" s="191" t="str">
        <f>ROUNDUP($A94,0) &amp;" " &amp; Formeln!$A$111</f>
        <v>0 STK</v>
      </c>
      <c r="R94" s="8"/>
      <c r="T94" s="46">
        <v>507202</v>
      </c>
      <c r="U94" s="46">
        <v>507203</v>
      </c>
      <c r="V94" s="46">
        <v>507204</v>
      </c>
      <c r="W94" s="46">
        <v>507205</v>
      </c>
      <c r="X94" s="46">
        <v>507206</v>
      </c>
    </row>
    <row r="95" spans="1:39" ht="50.1" customHeight="1">
      <c r="A95" s="126"/>
      <c r="B95" s="96" t="str">
        <f>VLOOKUP("kg",Sprachindex!A:Z,Info!$O$6,FALSE)</f>
        <v>kg</v>
      </c>
      <c r="C95" s="95"/>
      <c r="D95" s="95">
        <f>IF(I95=Formeln!A104,X94,IF(I95=Formeln!A105,T94,IF(I95=Formeln!A106,U94,IF(I95=Formeln!A107,V94,IF(I95=Formeln!A108,W94,0)))))</f>
        <v>0</v>
      </c>
      <c r="E95" s="292" t="str">
        <f>VLOOKUP("Lochblech, 0,70x1000mm
in Rollen zu 24kg ",Sprachindex!A:Z,Info!$O$6,FALSE)</f>
        <v xml:space="preserve">Lochblech, 0,70x1000mm
in Rollen zu 24kg </v>
      </c>
      <c r="F95" s="292"/>
      <c r="G95" s="292"/>
      <c r="H95" s="292"/>
      <c r="I95" s="298"/>
      <c r="J95" s="298"/>
      <c r="K95" s="298"/>
      <c r="L95" s="183" t="str">
        <f>IF($A95=0,"",IF($I95=Formeln!$A$103," ",IF($N$11=1,P95,Q95)))</f>
        <v/>
      </c>
      <c r="M95" s="102"/>
      <c r="P95" s="191" t="str">
        <f>ROUNDUP($A95/24,0)*24 &amp; " " &amp; Formeln!$A$114 &amp; "        " &amp; "(="&amp;ROUNDUP($A95/24,0) &amp; " " &amp;R95&amp; ")"</f>
        <v>0 kg        (=0 Rolle)</v>
      </c>
      <c r="Q95" s="191" t="str">
        <f>ROUNDUP($A95,0) &amp; " " &amp; Formeln!$A$114 &amp; "        " &amp; "(="&amp;ROUNDUP($A95/24,1) &amp; " " &amp;R95&amp; ")"</f>
        <v>0 kg        (=0 Rolle)</v>
      </c>
      <c r="R95" s="193" t="str">
        <f>IF(A95&gt;24, Formeln!$A$116, Formeln!$A$115)</f>
        <v>Rolle</v>
      </c>
      <c r="T95" s="140" t="s">
        <v>51</v>
      </c>
      <c r="U95" s="140" t="s">
        <v>52</v>
      </c>
      <c r="V95" s="140" t="s">
        <v>53</v>
      </c>
      <c r="W95" s="140" t="s">
        <v>54</v>
      </c>
      <c r="X95" s="140" t="s">
        <v>55</v>
      </c>
      <c r="Y95" s="140" t="s">
        <v>56</v>
      </c>
      <c r="Z95" s="140" t="s">
        <v>57</v>
      </c>
      <c r="AA95" s="140" t="s">
        <v>58</v>
      </c>
      <c r="AB95" s="140" t="s">
        <v>59</v>
      </c>
      <c r="AC95" s="140" t="s">
        <v>60</v>
      </c>
      <c r="AD95" s="140" t="s">
        <v>61</v>
      </c>
      <c r="AE95" s="140" t="s">
        <v>62</v>
      </c>
      <c r="AF95" s="140" t="s">
        <v>63</v>
      </c>
      <c r="AG95" s="140" t="s">
        <v>64</v>
      </c>
      <c r="AH95" s="140" t="s">
        <v>65</v>
      </c>
      <c r="AI95" s="140" t="s">
        <v>66</v>
      </c>
      <c r="AJ95" s="140" t="s">
        <v>67</v>
      </c>
      <c r="AK95" s="140" t="s">
        <v>68</v>
      </c>
      <c r="AL95" s="140" t="s">
        <v>69</v>
      </c>
      <c r="AM95" s="140" t="s">
        <v>70</v>
      </c>
    </row>
    <row r="96" spans="1:39" ht="32.1" customHeight="1">
      <c r="A96" s="118"/>
      <c r="B96" s="96" t="str">
        <f>VLOOKUP("kg",Sprachindex!A:Z,Info!$O$6,FALSE)</f>
        <v>kg</v>
      </c>
      <c r="C96" s="98"/>
      <c r="D96" s="100">
        <f>IF(AND(I96=Formeln!A21,K96=Formeln!A126),T95,IF(AND(I96=Formeln!A21,K96=Formeln!A129),U95,IF(AND(I96=Formeln!A21,K96=Formeln!A131),V95,IF(AND(I96=Formeln!A21,K96=Formeln!A129),AE95,IF(AND(I96=Formeln!A21,K96=Formeln!A125),W95,IF(AND(I96=Formeln!A21,K96=Formeln!A134),X95,IF(AND(I96=Formeln!A21,K96=Formeln!A128),Y95,IF(AND(I96=Formeln!A21,K96=Formeln!A132),Z95,IF(AND(I96=Formeln!A21,K96=Formeln!A130),AA95,IF(AND(I96=Formeln!A21,K96=Formeln!A127),AB95,IF(AND(I96=Formeln!A21,K96=Formeln!A133),AC95,IF(AND(I96=Formeln!A22,K96=Formeln!A126),AD95,IF(AND(I96=Formeln!A22,K96=Formeln!A129),AE95,IF(AND(I96=Formeln!A22,K96=Formeln!A131),AF95,IF(AND(I96=Formeln!A22,K96=Formeln!A129),AE95,IF(AND(I96=Formeln!A22,K96=Formeln!A125),AG95,IF(AND(I96=Formeln!A22,K96=Formeln!A134),AH95,IF(AND(I96=Formeln!A22,K96=Formeln!A128),AI95,IF(AND(I96=Formeln!A22,K96=Formeln!A132),AJ95,IF(AND(I96=Formeln!A22,K96=Formeln!A130),AK95,IF(AND(I96=Formeln!A22,K96=Formeln!A127),AL95,IF(AND(I96=Formeln!A22,K96=Formeln!A133),AM95,0))))))))))))))))))))))</f>
        <v>0</v>
      </c>
      <c r="E96" s="250" t="str">
        <f>VLOOKUP("PREFALZ 0.7x1000 stucco, in Rollen zu 60kg",Sprachindex!A:Z,Info!$O$6,FALSE)</f>
        <v>PREFALZ 0.7x1000 stucco, in Rollen zu 60kg</v>
      </c>
      <c r="F96" s="251"/>
      <c r="G96" s="251"/>
      <c r="H96" s="103" t="str">
        <f>VLOOKUP("Oberfläche:",Sprachindex!A:Z,Info!$O$6,FALSE)</f>
        <v>Oberfläche:</v>
      </c>
      <c r="I96" s="104"/>
      <c r="J96" s="101" t="str">
        <f>VLOOKUP("Farbe:",Sprachindex!A:Z,Info!$O$6,FALSE)</f>
        <v>Farbe:</v>
      </c>
      <c r="K96" s="104"/>
      <c r="L96" s="183" t="str">
        <f>IF($A96=0,"",IF(OR($I96=Formeln!$A$20,$K96=Formeln!$A$124)," ",IF($N$11=1,P96,Q96)))</f>
        <v/>
      </c>
      <c r="M96" s="102"/>
      <c r="P96" s="208" t="str">
        <f>ROUNDUP($A96/60,0)*60 &amp; " " &amp; Formeln!$A$114 &amp; "        " &amp; "(="&amp;ROUNDUP($A96/60,0) &amp; " " &amp;R96&amp; ")"</f>
        <v>0 kg        (=0 Rolle)</v>
      </c>
      <c r="Q96" s="208" t="str">
        <f>ROUNDUP($A96,0) &amp; " " &amp; Formeln!$A$114 &amp; "        " &amp; "(="&amp;ROUNDUP($A96/60,1) &amp; " " &amp;R96&amp; ")"</f>
        <v>0 kg        (=0 Rolle)</v>
      </c>
      <c r="R96" s="193" t="str">
        <f>IF(A96&gt;60, Formeln!$A$116, Formeln!$A$115)</f>
        <v>Rolle</v>
      </c>
    </row>
    <row r="97" spans="1:17" ht="32.1" customHeight="1">
      <c r="A97" s="195"/>
      <c r="B97" s="196"/>
      <c r="C97" s="196"/>
      <c r="D97" s="196"/>
      <c r="E97" s="296"/>
      <c r="F97" s="296"/>
      <c r="G97" s="296"/>
      <c r="H97" s="296"/>
      <c r="I97" s="296"/>
      <c r="J97" s="296"/>
      <c r="K97" s="296"/>
      <c r="L97" s="196"/>
      <c r="M97" s="197"/>
      <c r="P97" s="8"/>
      <c r="Q97" s="8"/>
    </row>
    <row r="98" spans="1:17" ht="32.1" customHeight="1">
      <c r="A98" s="195"/>
      <c r="B98" s="196"/>
      <c r="C98" s="196"/>
      <c r="D98" s="196"/>
      <c r="E98" s="296"/>
      <c r="F98" s="296"/>
      <c r="G98" s="296"/>
      <c r="H98" s="296"/>
      <c r="I98" s="296"/>
      <c r="J98" s="296"/>
      <c r="K98" s="296"/>
      <c r="L98" s="196"/>
      <c r="M98" s="197"/>
      <c r="P98" s="8"/>
      <c r="Q98" s="8"/>
    </row>
    <row r="99" spans="1:17" ht="32.1" customHeight="1" thickBot="1">
      <c r="A99" s="198"/>
      <c r="B99" s="199"/>
      <c r="C99" s="199"/>
      <c r="D99" s="199"/>
      <c r="E99" s="271"/>
      <c r="F99" s="272"/>
      <c r="G99" s="272"/>
      <c r="H99" s="272"/>
      <c r="I99" s="272"/>
      <c r="J99" s="272"/>
      <c r="K99" s="273"/>
      <c r="L99" s="199"/>
      <c r="M99" s="200"/>
    </row>
    <row r="100" spans="1:17" ht="17.399999999999999">
      <c r="A100" s="86"/>
      <c r="B100" s="86"/>
      <c r="C100" s="86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</row>
    <row r="101" spans="1:17" ht="17.399999999999999">
      <c r="A101" s="86"/>
      <c r="B101" s="86"/>
      <c r="C101" s="108" t="str">
        <f>VLOOKUP("Zusatzvermerk:",Sprachindex!A:Z,Info!$O$6,FALSE)</f>
        <v>Zusatzvermerk:</v>
      </c>
      <c r="D101" s="275"/>
      <c r="E101" s="275"/>
      <c r="F101" s="275"/>
      <c r="G101" s="275"/>
      <c r="H101" s="275"/>
      <c r="I101" s="275"/>
      <c r="J101" s="275"/>
      <c r="K101" s="275"/>
      <c r="L101" s="275"/>
      <c r="M101" s="275"/>
    </row>
    <row r="102" spans="1:17" ht="17.399999999999999">
      <c r="A102" s="86"/>
      <c r="B102" s="86"/>
      <c r="C102" s="86"/>
      <c r="D102" s="297"/>
      <c r="E102" s="297"/>
      <c r="F102" s="297"/>
      <c r="G102" s="297"/>
      <c r="H102" s="297"/>
      <c r="I102" s="297"/>
      <c r="J102" s="297"/>
      <c r="K102" s="297"/>
      <c r="L102" s="297"/>
      <c r="M102" s="297"/>
    </row>
    <row r="103" spans="1:17" ht="17.399999999999999">
      <c r="A103" s="86"/>
      <c r="B103" s="86"/>
      <c r="C103" s="86"/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</row>
    <row r="104" spans="1:17" ht="17.399999999999999">
      <c r="A104" s="86"/>
      <c r="B104" s="86"/>
      <c r="C104" s="86"/>
      <c r="D104" s="297"/>
      <c r="E104" s="297"/>
      <c r="F104" s="297"/>
      <c r="G104" s="297"/>
      <c r="H104" s="297"/>
      <c r="I104" s="297"/>
      <c r="J104" s="297"/>
      <c r="K104" s="297"/>
      <c r="L104" s="297"/>
      <c r="M104" s="297"/>
    </row>
    <row r="105" spans="1:17" ht="17.399999999999999">
      <c r="A105" s="86"/>
      <c r="B105" s="86"/>
      <c r="C105" s="86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</row>
    <row r="106" spans="1:17" ht="13.8"/>
    <row r="107" spans="1:17" ht="13.8"/>
    <row r="108" spans="1:17" ht="17.399999999999999">
      <c r="A108" s="109" t="str">
        <f>VLOOKUP("Anwendungstechnik",Sprachindex!A:Z,Info!$O$6,FALSE)</f>
        <v>Anwendungstechnik</v>
      </c>
      <c r="B108" s="110"/>
      <c r="C108" s="110"/>
      <c r="D108" s="264"/>
      <c r="E108" s="264"/>
      <c r="F108" s="264"/>
      <c r="G108" s="264"/>
      <c r="H108" s="264"/>
      <c r="I108" s="264"/>
      <c r="J108" s="264"/>
      <c r="K108" s="111" t="str">
        <f>VLOOKUP("Stand:",Sprachindex!A:Z,Info!$O$6,FALSE)</f>
        <v>Stand:</v>
      </c>
      <c r="L108" s="277">
        <v>44546</v>
      </c>
      <c r="M108" s="278"/>
    </row>
    <row r="109" spans="1:17" ht="13.8"/>
    <row r="110" spans="1:17" ht="13.8" hidden="1"/>
    <row r="111" spans="1:17" ht="13.8" hidden="1"/>
    <row r="112" spans="1:17" ht="13.8" hidden="1"/>
    <row r="113" ht="13.8" hidden="1"/>
    <row r="114" ht="13.8" hidden="1"/>
    <row r="115" ht="13.8" hidden="1"/>
    <row r="116" ht="13.8" hidden="1"/>
    <row r="117" ht="14.25" hidden="1" customHeight="1"/>
    <row r="118" ht="14.25" hidden="1" customHeight="1"/>
  </sheetData>
  <sheetProtection password="8D71" sheet="1" objects="1" scenarios="1" selectLockedCells="1" autoFilter="0"/>
  <protectedRanges>
    <protectedRange password="DEBF" sqref="R94" name="darf vom Benutzer nicht verändert werden_1_12"/>
    <protectedRange password="DEBF" sqref="P97:Q98" name="darf vom Benutzer nicht verändert werden_1_5_10"/>
    <protectedRange password="DEBF" sqref="P31" name="darf vom Benutzer nicht verändert werden_1_5_2_2_2_1"/>
    <protectedRange password="DEBF" sqref="P32" name="darf vom Benutzer nicht verändert werden_1_5_2_7"/>
    <protectedRange password="DEBF" sqref="Q32" name="darf vom Benutzer nicht verändert werden_1_3"/>
    <protectedRange password="DEBF" sqref="Q33" name="darf vom Benutzer nicht verändert werden_1_1_2"/>
    <protectedRange password="DEBF" sqref="P33" name="darf vom Benutzer nicht verändert werden_1_4_3"/>
    <protectedRange password="DEBF" sqref="Q34" name="darf vom Benutzer nicht verändert werden_1_2_1"/>
    <protectedRange password="DEBF" sqref="P34" name="darf vom Benutzer nicht verändert werden_1_5_2_5_2"/>
    <protectedRange password="DEBF" sqref="P35:Q35" name="darf vom Benutzer nicht verändert werden_1_5_8"/>
    <protectedRange password="DEBF" sqref="Q36" name="darf vom Benutzer nicht verändert werden_1_2_2"/>
    <protectedRange password="DEBF" sqref="P36 P37:Q47" name="darf vom Benutzer nicht verändert werden_1_5_11"/>
    <protectedRange password="DEBF" sqref="P48:Q50" name="darf vom Benutzer nicht verändert werden_1_5_12"/>
    <protectedRange password="DEBF" sqref="P51:Q67" name="darf vom Benutzer nicht verändert werden_1_5_13"/>
    <protectedRange password="DEBF" sqref="P68:Q68" name="darf vom Benutzer nicht verändert werden_1_5_14"/>
    <protectedRange password="DEBF" sqref="P69:Q69" name="darf vom Benutzer nicht verändert werden_1_5_15"/>
    <protectedRange password="DEBF" sqref="P70:Q91" name="darf vom Benutzer nicht verändert werden_1_5_16"/>
    <protectedRange password="DEBF" sqref="P93:Q96" name="darf vom Benutzer nicht verändert werden_1_5_17"/>
    <protectedRange password="DEBF" sqref="R96" name="darf vom Benutzer nicht verändert werden_1_12_2"/>
    <protectedRange password="DEBF" sqref="R95" name="darf vom Benutzer nicht verändert werden_1_12_3"/>
    <protectedRange password="DEBF" sqref="P92:Q92" name="darf vom Benutzer nicht verändert werden_1_5"/>
  </protectedRanges>
  <autoFilter ref="A29:A99" xr:uid="{00000000-0009-0000-0000-000004000000}"/>
  <mergeCells count="108">
    <mergeCell ref="E31:K31"/>
    <mergeCell ref="E32:K32"/>
    <mergeCell ref="E49:K49"/>
    <mergeCell ref="E50:K50"/>
    <mergeCell ref="P29:Q29"/>
    <mergeCell ref="B29:F29"/>
    <mergeCell ref="E30:K30"/>
    <mergeCell ref="E34:G34"/>
    <mergeCell ref="E66:K66"/>
    <mergeCell ref="E46:G46"/>
    <mergeCell ref="E42:K42"/>
    <mergeCell ref="E33:G33"/>
    <mergeCell ref="H33:K33"/>
    <mergeCell ref="E38:K38"/>
    <mergeCell ref="E39:K39"/>
    <mergeCell ref="E40:K40"/>
    <mergeCell ref="E41:K41"/>
    <mergeCell ref="H34:K34"/>
    <mergeCell ref="E35:K35"/>
    <mergeCell ref="E36:G36"/>
    <mergeCell ref="H36:K36"/>
    <mergeCell ref="E48:K48"/>
    <mergeCell ref="E52:H52"/>
    <mergeCell ref="J52:K52"/>
    <mergeCell ref="E43:K43"/>
    <mergeCell ref="E44:K44"/>
    <mergeCell ref="C14:E14"/>
    <mergeCell ref="C13:E13"/>
    <mergeCell ref="C10:E10"/>
    <mergeCell ref="E90:K90"/>
    <mergeCell ref="E94:K94"/>
    <mergeCell ref="D108:J108"/>
    <mergeCell ref="E97:K97"/>
    <mergeCell ref="E98:K98"/>
    <mergeCell ref="E99:K99"/>
    <mergeCell ref="D104:M105"/>
    <mergeCell ref="D102:M103"/>
    <mergeCell ref="D100:M101"/>
    <mergeCell ref="E96:G96"/>
    <mergeCell ref="E95:H95"/>
    <mergeCell ref="I95:K95"/>
    <mergeCell ref="L108:M108"/>
    <mergeCell ref="E37:K37"/>
    <mergeCell ref="E83:K83"/>
    <mergeCell ref="E84:K84"/>
    <mergeCell ref="E85:K85"/>
    <mergeCell ref="E86:K86"/>
    <mergeCell ref="E88:K88"/>
    <mergeCell ref="E67:K67"/>
    <mergeCell ref="E57:K57"/>
    <mergeCell ref="E62:K62"/>
    <mergeCell ref="E63:K63"/>
    <mergeCell ref="E59:K59"/>
    <mergeCell ref="E91:K91"/>
    <mergeCell ref="E79:K79"/>
    <mergeCell ref="E80:K80"/>
    <mergeCell ref="E81:K81"/>
    <mergeCell ref="E82:K82"/>
    <mergeCell ref="E60:K60"/>
    <mergeCell ref="E61:K61"/>
    <mergeCell ref="E64:K64"/>
    <mergeCell ref="E93:K93"/>
    <mergeCell ref="E89:K89"/>
    <mergeCell ref="E78:K78"/>
    <mergeCell ref="E70:K70"/>
    <mergeCell ref="E71:K71"/>
    <mergeCell ref="E72:K72"/>
    <mergeCell ref="E73:K73"/>
    <mergeCell ref="E74:K74"/>
    <mergeCell ref="E75:K75"/>
    <mergeCell ref="E76:K76"/>
    <mergeCell ref="E87:K87"/>
    <mergeCell ref="K4:M4"/>
    <mergeCell ref="E92:K92"/>
    <mergeCell ref="E77:K77"/>
    <mergeCell ref="E47:G47"/>
    <mergeCell ref="H47:K47"/>
    <mergeCell ref="E68:K68"/>
    <mergeCell ref="E53:H53"/>
    <mergeCell ref="J53:K53"/>
    <mergeCell ref="E55:K55"/>
    <mergeCell ref="E56:K56"/>
    <mergeCell ref="E58:K58"/>
    <mergeCell ref="E65:K65"/>
    <mergeCell ref="K6:M6"/>
    <mergeCell ref="H46:K46"/>
    <mergeCell ref="E45:K45"/>
    <mergeCell ref="E54:H54"/>
    <mergeCell ref="J54:K54"/>
    <mergeCell ref="E51:K51"/>
    <mergeCell ref="C9:E9"/>
    <mergeCell ref="C18:E18"/>
    <mergeCell ref="K7:M7"/>
    <mergeCell ref="C11:E11"/>
    <mergeCell ref="K5:M5"/>
    <mergeCell ref="E69:K69"/>
    <mergeCell ref="B24:B27"/>
    <mergeCell ref="C24:E24"/>
    <mergeCell ref="I24:K24"/>
    <mergeCell ref="C25:E25"/>
    <mergeCell ref="I25:K25"/>
    <mergeCell ref="C26:E26"/>
    <mergeCell ref="I26:K26"/>
    <mergeCell ref="C27:E27"/>
    <mergeCell ref="C15:E15"/>
    <mergeCell ref="C21:E21"/>
    <mergeCell ref="C20:E20"/>
    <mergeCell ref="C19:E19"/>
  </mergeCells>
  <conditionalFormatting sqref="C18:C21 C13:C15 C9:C11">
    <cfRule type="cellIs" dxfId="2004" priority="753" operator="equal">
      <formula>""</formula>
    </cfRule>
  </conditionalFormatting>
  <conditionalFormatting sqref="A31">
    <cfRule type="cellIs" dxfId="2003" priority="740" operator="equal">
      <formula>""</formula>
    </cfRule>
  </conditionalFormatting>
  <conditionalFormatting sqref="A32">
    <cfRule type="cellIs" dxfId="2002" priority="739" operator="equal">
      <formula>""</formula>
    </cfRule>
  </conditionalFormatting>
  <conditionalFormatting sqref="A33">
    <cfRule type="cellIs" dxfId="2001" priority="738" operator="equal">
      <formula>""</formula>
    </cfRule>
  </conditionalFormatting>
  <conditionalFormatting sqref="A34">
    <cfRule type="cellIs" dxfId="2000" priority="737" operator="equal">
      <formula>""</formula>
    </cfRule>
  </conditionalFormatting>
  <conditionalFormatting sqref="A35">
    <cfRule type="cellIs" dxfId="1999" priority="736" operator="equal">
      <formula>""</formula>
    </cfRule>
  </conditionalFormatting>
  <conditionalFormatting sqref="A36">
    <cfRule type="cellIs" dxfId="1998" priority="735" operator="equal">
      <formula>""</formula>
    </cfRule>
  </conditionalFormatting>
  <conditionalFormatting sqref="A37">
    <cfRule type="cellIs" dxfId="1997" priority="734" operator="equal">
      <formula>""</formula>
    </cfRule>
  </conditionalFormatting>
  <conditionalFormatting sqref="A38">
    <cfRule type="cellIs" dxfId="1996" priority="733" operator="equal">
      <formula>""</formula>
    </cfRule>
  </conditionalFormatting>
  <conditionalFormatting sqref="A39">
    <cfRule type="cellIs" dxfId="1995" priority="732" operator="equal">
      <formula>""</formula>
    </cfRule>
  </conditionalFormatting>
  <conditionalFormatting sqref="A40">
    <cfRule type="cellIs" dxfId="1994" priority="731" operator="equal">
      <formula>""</formula>
    </cfRule>
  </conditionalFormatting>
  <conditionalFormatting sqref="A41">
    <cfRule type="cellIs" dxfId="1993" priority="730" operator="equal">
      <formula>""</formula>
    </cfRule>
  </conditionalFormatting>
  <conditionalFormatting sqref="A42">
    <cfRule type="cellIs" dxfId="1992" priority="729" operator="equal">
      <formula>""</formula>
    </cfRule>
  </conditionalFormatting>
  <conditionalFormatting sqref="A43">
    <cfRule type="cellIs" dxfId="1991" priority="728" operator="equal">
      <formula>""</formula>
    </cfRule>
  </conditionalFormatting>
  <conditionalFormatting sqref="A44">
    <cfRule type="cellIs" dxfId="1990" priority="727" operator="equal">
      <formula>""</formula>
    </cfRule>
  </conditionalFormatting>
  <conditionalFormatting sqref="A45">
    <cfRule type="cellIs" dxfId="1989" priority="726" operator="equal">
      <formula>""</formula>
    </cfRule>
  </conditionalFormatting>
  <conditionalFormatting sqref="A47">
    <cfRule type="cellIs" dxfId="1988" priority="725" operator="equal">
      <formula>""</formula>
    </cfRule>
  </conditionalFormatting>
  <conditionalFormatting sqref="A48:A50">
    <cfRule type="cellIs" dxfId="1987" priority="724" operator="equal">
      <formula>""</formula>
    </cfRule>
  </conditionalFormatting>
  <conditionalFormatting sqref="A51">
    <cfRule type="cellIs" dxfId="1986" priority="723" operator="equal">
      <formula>""</formula>
    </cfRule>
  </conditionalFormatting>
  <conditionalFormatting sqref="A52">
    <cfRule type="cellIs" dxfId="1985" priority="721" operator="equal">
      <formula>""</formula>
    </cfRule>
  </conditionalFormatting>
  <conditionalFormatting sqref="A53">
    <cfRule type="cellIs" dxfId="1984" priority="719" operator="equal">
      <formula>""</formula>
    </cfRule>
  </conditionalFormatting>
  <conditionalFormatting sqref="A55">
    <cfRule type="cellIs" dxfId="1983" priority="718" operator="equal">
      <formula>""</formula>
    </cfRule>
  </conditionalFormatting>
  <conditionalFormatting sqref="A56">
    <cfRule type="cellIs" dxfId="1982" priority="717" operator="equal">
      <formula>""</formula>
    </cfRule>
  </conditionalFormatting>
  <conditionalFormatting sqref="A58">
    <cfRule type="cellIs" dxfId="1981" priority="716" operator="equal">
      <formula>""</formula>
    </cfRule>
  </conditionalFormatting>
  <conditionalFormatting sqref="A59">
    <cfRule type="cellIs" dxfId="1980" priority="715" operator="equal">
      <formula>""</formula>
    </cfRule>
  </conditionalFormatting>
  <conditionalFormatting sqref="A60">
    <cfRule type="cellIs" dxfId="1979" priority="714" operator="equal">
      <formula>""</formula>
    </cfRule>
  </conditionalFormatting>
  <conditionalFormatting sqref="A61">
    <cfRule type="cellIs" dxfId="1978" priority="713" operator="equal">
      <formula>""</formula>
    </cfRule>
  </conditionalFormatting>
  <conditionalFormatting sqref="A70">
    <cfRule type="cellIs" dxfId="1977" priority="708" operator="equal">
      <formula>""</formula>
    </cfRule>
  </conditionalFormatting>
  <conditionalFormatting sqref="A66">
    <cfRule type="cellIs" dxfId="1976" priority="711" operator="equal">
      <formula>""</formula>
    </cfRule>
  </conditionalFormatting>
  <conditionalFormatting sqref="A67">
    <cfRule type="cellIs" dxfId="1975" priority="710" operator="equal">
      <formula>""</formula>
    </cfRule>
  </conditionalFormatting>
  <conditionalFormatting sqref="A68">
    <cfRule type="cellIs" dxfId="1974" priority="709" operator="equal">
      <formula>""</formula>
    </cfRule>
  </conditionalFormatting>
  <conditionalFormatting sqref="A72">
    <cfRule type="cellIs" dxfId="1973" priority="706" operator="equal">
      <formula>""</formula>
    </cfRule>
  </conditionalFormatting>
  <conditionalFormatting sqref="A71">
    <cfRule type="cellIs" dxfId="1972" priority="707" operator="equal">
      <formula>""</formula>
    </cfRule>
  </conditionalFormatting>
  <conditionalFormatting sqref="A73">
    <cfRule type="cellIs" dxfId="1971" priority="705" operator="equal">
      <formula>""</formula>
    </cfRule>
  </conditionalFormatting>
  <conditionalFormatting sqref="A74">
    <cfRule type="cellIs" dxfId="1970" priority="704" operator="equal">
      <formula>""</formula>
    </cfRule>
  </conditionalFormatting>
  <conditionalFormatting sqref="A75">
    <cfRule type="cellIs" dxfId="1969" priority="703" operator="equal">
      <formula>""</formula>
    </cfRule>
  </conditionalFormatting>
  <conditionalFormatting sqref="A76">
    <cfRule type="cellIs" dxfId="1968" priority="702" operator="equal">
      <formula>""</formula>
    </cfRule>
  </conditionalFormatting>
  <conditionalFormatting sqref="A77">
    <cfRule type="cellIs" dxfId="1967" priority="698" operator="equal">
      <formula>""</formula>
    </cfRule>
  </conditionalFormatting>
  <conditionalFormatting sqref="A78">
    <cfRule type="cellIs" dxfId="1966" priority="697" operator="equal">
      <formula>""</formula>
    </cfRule>
  </conditionalFormatting>
  <conditionalFormatting sqref="A79">
    <cfRule type="cellIs" dxfId="1965" priority="696" operator="equal">
      <formula>""</formula>
    </cfRule>
  </conditionalFormatting>
  <conditionalFormatting sqref="A80">
    <cfRule type="cellIs" dxfId="1964" priority="695" operator="equal">
      <formula>""</formula>
    </cfRule>
  </conditionalFormatting>
  <conditionalFormatting sqref="A81">
    <cfRule type="cellIs" dxfId="1963" priority="694" operator="equal">
      <formula>""</formula>
    </cfRule>
  </conditionalFormatting>
  <conditionalFormatting sqref="A82">
    <cfRule type="cellIs" dxfId="1962" priority="693" operator="equal">
      <formula>""</formula>
    </cfRule>
  </conditionalFormatting>
  <conditionalFormatting sqref="A83">
    <cfRule type="cellIs" dxfId="1961" priority="692" operator="equal">
      <formula>""</formula>
    </cfRule>
  </conditionalFormatting>
  <conditionalFormatting sqref="A84">
    <cfRule type="cellIs" dxfId="1960" priority="691" operator="equal">
      <formula>""</formula>
    </cfRule>
  </conditionalFormatting>
  <conditionalFormatting sqref="A85">
    <cfRule type="cellIs" dxfId="1959" priority="690" operator="equal">
      <formula>""</formula>
    </cfRule>
  </conditionalFormatting>
  <conditionalFormatting sqref="A86">
    <cfRule type="cellIs" dxfId="1958" priority="689" operator="equal">
      <formula>""</formula>
    </cfRule>
  </conditionalFormatting>
  <conditionalFormatting sqref="A87">
    <cfRule type="cellIs" dxfId="1957" priority="688" operator="equal">
      <formula>""</formula>
    </cfRule>
  </conditionalFormatting>
  <conditionalFormatting sqref="A88">
    <cfRule type="cellIs" dxfId="1956" priority="687" operator="equal">
      <formula>""</formula>
    </cfRule>
  </conditionalFormatting>
  <conditionalFormatting sqref="A89">
    <cfRule type="cellIs" dxfId="1955" priority="686" operator="equal">
      <formula>""</formula>
    </cfRule>
  </conditionalFormatting>
  <conditionalFormatting sqref="A91">
    <cfRule type="cellIs" dxfId="1954" priority="685" operator="equal">
      <formula>""</formula>
    </cfRule>
  </conditionalFormatting>
  <conditionalFormatting sqref="A92">
    <cfRule type="cellIs" dxfId="1953" priority="684" operator="equal">
      <formula>""</formula>
    </cfRule>
  </conditionalFormatting>
  <conditionalFormatting sqref="A95">
    <cfRule type="cellIs" dxfId="1952" priority="683" operator="equal">
      <formula>""</formula>
    </cfRule>
  </conditionalFormatting>
  <conditionalFormatting sqref="A96">
    <cfRule type="cellIs" dxfId="1951" priority="682" operator="equal">
      <formula>""</formula>
    </cfRule>
  </conditionalFormatting>
  <conditionalFormatting sqref="A97">
    <cfRule type="cellIs" dxfId="1950" priority="680" operator="equal">
      <formula>""</formula>
    </cfRule>
  </conditionalFormatting>
  <conditionalFormatting sqref="A98">
    <cfRule type="cellIs" dxfId="1949" priority="679" operator="equal">
      <formula>""</formula>
    </cfRule>
  </conditionalFormatting>
  <conditionalFormatting sqref="E98">
    <cfRule type="cellIs" dxfId="1948" priority="670" operator="equal">
      <formula>""</formula>
    </cfRule>
  </conditionalFormatting>
  <conditionalFormatting sqref="B98">
    <cfRule type="cellIs" dxfId="1947" priority="676" operator="equal">
      <formula>""</formula>
    </cfRule>
  </conditionalFormatting>
  <conditionalFormatting sqref="B97">
    <cfRule type="cellIs" dxfId="1946" priority="675" operator="equal">
      <formula>""</formula>
    </cfRule>
  </conditionalFormatting>
  <conditionalFormatting sqref="C97:D97">
    <cfRule type="cellIs" dxfId="1945" priority="674" operator="equal">
      <formula>""</formula>
    </cfRule>
  </conditionalFormatting>
  <conditionalFormatting sqref="C98:D98">
    <cfRule type="cellIs" dxfId="1944" priority="673" operator="equal">
      <formula>""</formula>
    </cfRule>
  </conditionalFormatting>
  <conditionalFormatting sqref="E97">
    <cfRule type="cellIs" dxfId="1943" priority="669" operator="equal">
      <formula>""</formula>
    </cfRule>
  </conditionalFormatting>
  <conditionalFormatting sqref="L97">
    <cfRule type="cellIs" dxfId="1942" priority="668" operator="equal">
      <formula>""</formula>
    </cfRule>
  </conditionalFormatting>
  <conditionalFormatting sqref="M97">
    <cfRule type="cellIs" dxfId="1941" priority="667" operator="equal">
      <formula>""</formula>
    </cfRule>
  </conditionalFormatting>
  <conditionalFormatting sqref="M98">
    <cfRule type="cellIs" dxfId="1940" priority="666" operator="equal">
      <formula>""</formula>
    </cfRule>
  </conditionalFormatting>
  <conditionalFormatting sqref="L98">
    <cfRule type="cellIs" dxfId="1939" priority="663" operator="equal">
      <formula>""</formula>
    </cfRule>
  </conditionalFormatting>
  <conditionalFormatting sqref="AC31">
    <cfRule type="duplicateValues" dxfId="1938" priority="605"/>
  </conditionalFormatting>
  <conditionalFormatting sqref="AM31">
    <cfRule type="duplicateValues" dxfId="1937" priority="604"/>
  </conditionalFormatting>
  <conditionalFormatting sqref="T31:AB31">
    <cfRule type="duplicateValues" dxfId="1936" priority="603"/>
  </conditionalFormatting>
  <conditionalFormatting sqref="AD31:AL31">
    <cfRule type="duplicateValues" dxfId="1935" priority="602"/>
  </conditionalFormatting>
  <conditionalFormatting sqref="T67:AB67">
    <cfRule type="duplicateValues" dxfId="1934" priority="488"/>
  </conditionalFormatting>
  <conditionalFormatting sqref="D74">
    <cfRule type="duplicateValues" dxfId="1933" priority="487"/>
  </conditionalFormatting>
  <conditionalFormatting sqref="T94:X94">
    <cfRule type="duplicateValues" dxfId="1932" priority="454"/>
  </conditionalFormatting>
  <conditionalFormatting sqref="T68:AB68">
    <cfRule type="duplicateValues" dxfId="1931" priority="446"/>
  </conditionalFormatting>
  <conditionalFormatting sqref="AC68">
    <cfRule type="duplicateValues" dxfId="1930" priority="445"/>
  </conditionalFormatting>
  <conditionalFormatting sqref="D66">
    <cfRule type="duplicateValues" dxfId="1929" priority="444"/>
  </conditionalFormatting>
  <conditionalFormatting sqref="J21:K22 J28:K28">
    <cfRule type="expression" dxfId="1928" priority="1056">
      <formula>$N$21=10</formula>
    </cfRule>
  </conditionalFormatting>
  <conditionalFormatting sqref="I21:I22 I28">
    <cfRule type="expression" dxfId="1927" priority="1057">
      <formula>$N$21=10</formula>
    </cfRule>
  </conditionalFormatting>
  <conditionalFormatting sqref="T76:AB76">
    <cfRule type="duplicateValues" dxfId="1926" priority="437"/>
  </conditionalFormatting>
  <conditionalFormatting sqref="I13">
    <cfRule type="expression" dxfId="1925" priority="424">
      <formula>$N$13=2</formula>
    </cfRule>
    <cfRule type="expression" dxfId="1924" priority="427">
      <formula>$N$13=1</formula>
    </cfRule>
  </conditionalFormatting>
  <conditionalFormatting sqref="L13">
    <cfRule type="expression" dxfId="1923" priority="425">
      <formula>$N$13=1</formula>
    </cfRule>
    <cfRule type="expression" dxfId="1922" priority="426">
      <formula>$N$13=2</formula>
    </cfRule>
  </conditionalFormatting>
  <conditionalFormatting sqref="A46">
    <cfRule type="cellIs" dxfId="1921" priority="423" operator="equal">
      <formula>""</formula>
    </cfRule>
  </conditionalFormatting>
  <conditionalFormatting sqref="A54">
    <cfRule type="cellIs" dxfId="1920" priority="355" operator="equal">
      <formula>""</formula>
    </cfRule>
  </conditionalFormatting>
  <conditionalFormatting sqref="A57">
    <cfRule type="cellIs" dxfId="1919" priority="266" operator="equal">
      <formula>""</formula>
    </cfRule>
  </conditionalFormatting>
  <conditionalFormatting sqref="A63">
    <cfRule type="cellIs" dxfId="1918" priority="262" operator="equal">
      <formula>""</formula>
    </cfRule>
  </conditionalFormatting>
  <conditionalFormatting sqref="A62">
    <cfRule type="cellIs" dxfId="1917" priority="259" operator="equal">
      <formula>""</formula>
    </cfRule>
  </conditionalFormatting>
  <conditionalFormatting sqref="A65">
    <cfRule type="cellIs" dxfId="1916" priority="256" operator="equal">
      <formula>""</formula>
    </cfRule>
  </conditionalFormatting>
  <conditionalFormatting sqref="A64">
    <cfRule type="cellIs" dxfId="1915" priority="255" operator="equal">
      <formula>""</formula>
    </cfRule>
  </conditionalFormatting>
  <conditionalFormatting sqref="D64">
    <cfRule type="duplicateValues" dxfId="1914" priority="253"/>
  </conditionalFormatting>
  <conditionalFormatting sqref="D65">
    <cfRule type="duplicateValues" dxfId="1913" priority="254"/>
  </conditionalFormatting>
  <conditionalFormatting sqref="A93">
    <cfRule type="cellIs" dxfId="1912" priority="251" operator="equal">
      <formula>""</formula>
    </cfRule>
  </conditionalFormatting>
  <conditionalFormatting sqref="A94">
    <cfRule type="cellIs" dxfId="1911" priority="252" operator="equal">
      <formula>""</formula>
    </cfRule>
  </conditionalFormatting>
  <conditionalFormatting sqref="A69">
    <cfRule type="cellIs" dxfId="1910" priority="250" operator="equal">
      <formula>""</formula>
    </cfRule>
  </conditionalFormatting>
  <conditionalFormatting sqref="A90">
    <cfRule type="cellIs" dxfId="1909" priority="247" operator="equal">
      <formula>""</formula>
    </cfRule>
  </conditionalFormatting>
  <conditionalFormatting sqref="C24:E24">
    <cfRule type="cellIs" dxfId="1908" priority="242" operator="equal">
      <formula>""</formula>
    </cfRule>
  </conditionalFormatting>
  <conditionalFormatting sqref="C25:E25">
    <cfRule type="cellIs" dxfId="1907" priority="241" operator="equal">
      <formula>""</formula>
    </cfRule>
  </conditionalFormatting>
  <conditionalFormatting sqref="C26:E26">
    <cfRule type="cellIs" dxfId="1906" priority="240" operator="equal">
      <formula>""</formula>
    </cfRule>
  </conditionalFormatting>
  <conditionalFormatting sqref="C27:E27">
    <cfRule type="cellIs" dxfId="1905" priority="239" operator="equal">
      <formula>""</formula>
    </cfRule>
  </conditionalFormatting>
  <conditionalFormatting sqref="I26:K26 I24:I25">
    <cfRule type="cellIs" dxfId="1904" priority="238" operator="equal">
      <formula>""</formula>
    </cfRule>
  </conditionalFormatting>
  <conditionalFormatting sqref="A99">
    <cfRule type="cellIs" dxfId="1903" priority="236" operator="equal">
      <formula>""</formula>
    </cfRule>
  </conditionalFormatting>
  <conditionalFormatting sqref="B99">
    <cfRule type="cellIs" dxfId="1902" priority="235" operator="equal">
      <formula>""</formula>
    </cfRule>
  </conditionalFormatting>
  <conditionalFormatting sqref="C99">
    <cfRule type="cellIs" dxfId="1901" priority="234" operator="equal">
      <formula>""</formula>
    </cfRule>
  </conditionalFormatting>
  <conditionalFormatting sqref="E99">
    <cfRule type="cellIs" dxfId="1900" priority="233" operator="equal">
      <formula>""</formula>
    </cfRule>
  </conditionalFormatting>
  <conditionalFormatting sqref="L99">
    <cfRule type="cellIs" dxfId="1899" priority="232" operator="equal">
      <formula>""</formula>
    </cfRule>
  </conditionalFormatting>
  <conditionalFormatting sqref="M99">
    <cfRule type="cellIs" dxfId="1898" priority="231" operator="equal">
      <formula>""</formula>
    </cfRule>
  </conditionalFormatting>
  <conditionalFormatting sqref="D99">
    <cfRule type="cellIs" dxfId="1897" priority="230" operator="equal">
      <formula>""</formula>
    </cfRule>
  </conditionalFormatting>
  <conditionalFormatting sqref="K4">
    <cfRule type="cellIs" dxfId="1896" priority="226" operator="equal">
      <formula>""</formula>
    </cfRule>
  </conditionalFormatting>
  <conditionalFormatting sqref="K5">
    <cfRule type="cellIs" dxfId="1895" priority="225" operator="equal">
      <formula>""</formula>
    </cfRule>
  </conditionalFormatting>
  <conditionalFormatting sqref="K6">
    <cfRule type="cellIs" dxfId="1894" priority="224" operator="equal">
      <formula>""</formula>
    </cfRule>
  </conditionalFormatting>
  <conditionalFormatting sqref="K7">
    <cfRule type="cellIs" dxfId="1893" priority="223" operator="equal">
      <formula>""</formula>
    </cfRule>
  </conditionalFormatting>
  <conditionalFormatting sqref="Y35:AC35 T35:W35">
    <cfRule type="duplicateValues" dxfId="1892" priority="216"/>
  </conditionalFormatting>
  <conditionalFormatting sqref="T38:AB38 AD38:AL38">
    <cfRule type="duplicateValues" dxfId="1891" priority="217"/>
  </conditionalFormatting>
  <conditionalFormatting sqref="AC38">
    <cfRule type="duplicateValues" dxfId="1890" priority="215"/>
  </conditionalFormatting>
  <conditionalFormatting sqref="AD39:AL39 T39:AB39">
    <cfRule type="duplicateValues" dxfId="1889" priority="218"/>
  </conditionalFormatting>
  <conditionalFormatting sqref="T40:AL40">
    <cfRule type="duplicateValues" dxfId="1888" priority="219"/>
  </conditionalFormatting>
  <conditionalFormatting sqref="T41:AM41">
    <cfRule type="duplicateValues" dxfId="1887" priority="220"/>
  </conditionalFormatting>
  <conditionalFormatting sqref="AD43:AM43">
    <cfRule type="duplicateValues" dxfId="1886" priority="214"/>
  </conditionalFormatting>
  <conditionalFormatting sqref="T43:AC43">
    <cfRule type="duplicateValues" dxfId="1885" priority="221"/>
  </conditionalFormatting>
  <conditionalFormatting sqref="AD44:AL44">
    <cfRule type="duplicateValues" dxfId="1884" priority="213"/>
  </conditionalFormatting>
  <conditionalFormatting sqref="AC44">
    <cfRule type="duplicateValues" dxfId="1883" priority="212"/>
  </conditionalFormatting>
  <conditionalFormatting sqref="AM44">
    <cfRule type="duplicateValues" dxfId="1882" priority="211"/>
  </conditionalFormatting>
  <conditionalFormatting sqref="T44:AB44">
    <cfRule type="duplicateValues" dxfId="1881" priority="222"/>
  </conditionalFormatting>
  <conditionalFormatting sqref="T46">
    <cfRule type="duplicateValues" dxfId="1880" priority="210"/>
  </conditionalFormatting>
  <conditionalFormatting sqref="Y46">
    <cfRule type="duplicateValues" dxfId="1879" priority="209"/>
  </conditionalFormatting>
  <conditionalFormatting sqref="V46">
    <cfRule type="duplicateValues" dxfId="1878" priority="208"/>
  </conditionalFormatting>
  <conditionalFormatting sqref="U46">
    <cfRule type="duplicateValues" dxfId="1877" priority="207"/>
  </conditionalFormatting>
  <conditionalFormatting sqref="AA46">
    <cfRule type="duplicateValues" dxfId="1876" priority="206"/>
  </conditionalFormatting>
  <conditionalFormatting sqref="Z46">
    <cfRule type="duplicateValues" dxfId="1875" priority="205"/>
  </conditionalFormatting>
  <conditionalFormatting sqref="W46">
    <cfRule type="duplicateValues" dxfId="1874" priority="204"/>
  </conditionalFormatting>
  <conditionalFormatting sqref="T47">
    <cfRule type="duplicateValues" dxfId="1873" priority="203"/>
  </conditionalFormatting>
  <conditionalFormatting sqref="W47">
    <cfRule type="duplicateValues" dxfId="1872" priority="202"/>
  </conditionalFormatting>
  <conditionalFormatting sqref="V47">
    <cfRule type="duplicateValues" dxfId="1871" priority="201"/>
  </conditionalFormatting>
  <conditionalFormatting sqref="U47">
    <cfRule type="duplicateValues" dxfId="1870" priority="200"/>
  </conditionalFormatting>
  <conditionalFormatting sqref="Y47">
    <cfRule type="duplicateValues" dxfId="1869" priority="199"/>
  </conditionalFormatting>
  <conditionalFormatting sqref="AA47">
    <cfRule type="duplicateValues" dxfId="1868" priority="198"/>
  </conditionalFormatting>
  <conditionalFormatting sqref="Z47">
    <cfRule type="duplicateValues" dxfId="1867" priority="197"/>
  </conditionalFormatting>
  <conditionalFormatting sqref="T48:T50">
    <cfRule type="duplicateValues" dxfId="1866" priority="196"/>
  </conditionalFormatting>
  <conditionalFormatting sqref="U48:U50">
    <cfRule type="duplicateValues" dxfId="1865" priority="195"/>
  </conditionalFormatting>
  <conditionalFormatting sqref="V48:V50">
    <cfRule type="duplicateValues" dxfId="1864" priority="194"/>
  </conditionalFormatting>
  <conditionalFormatting sqref="W48:W50">
    <cfRule type="duplicateValues" dxfId="1863" priority="193"/>
  </conditionalFormatting>
  <conditionalFormatting sqref="X48:X50">
    <cfRule type="duplicateValues" dxfId="1862" priority="192"/>
  </conditionalFormatting>
  <conditionalFormatting sqref="Y48:Y50">
    <cfRule type="duplicateValues" dxfId="1861" priority="191"/>
  </conditionalFormatting>
  <conditionalFormatting sqref="Z48:Z50">
    <cfRule type="duplicateValues" dxfId="1860" priority="190"/>
  </conditionalFormatting>
  <conditionalFormatting sqref="AA48:AA50">
    <cfRule type="duplicateValues" dxfId="1859" priority="189"/>
  </conditionalFormatting>
  <conditionalFormatting sqref="AB48:AB50">
    <cfRule type="duplicateValues" dxfId="1858" priority="188"/>
  </conditionalFormatting>
  <conditionalFormatting sqref="T42:AC42">
    <cfRule type="duplicateValues" dxfId="1857" priority="187"/>
  </conditionalFormatting>
  <conditionalFormatting sqref="AM42">
    <cfRule type="duplicateValues" dxfId="1856" priority="186"/>
  </conditionalFormatting>
  <conditionalFormatting sqref="AD42:AL42">
    <cfRule type="duplicateValues" dxfId="1855" priority="185"/>
  </conditionalFormatting>
  <conditionalFormatting sqref="T45">
    <cfRule type="duplicateValues" dxfId="1854" priority="184"/>
  </conditionalFormatting>
  <conditionalFormatting sqref="Y45">
    <cfRule type="duplicateValues" dxfId="1853" priority="183"/>
  </conditionalFormatting>
  <conditionalFormatting sqref="V45">
    <cfRule type="duplicateValues" dxfId="1852" priority="182"/>
  </conditionalFormatting>
  <conditionalFormatting sqref="U45">
    <cfRule type="duplicateValues" dxfId="1851" priority="181"/>
  </conditionalFormatting>
  <conditionalFormatting sqref="AA45">
    <cfRule type="duplicateValues" dxfId="1850" priority="180"/>
  </conditionalFormatting>
  <conditionalFormatting sqref="Z45">
    <cfRule type="duplicateValues" dxfId="1849" priority="179"/>
  </conditionalFormatting>
  <conditionalFormatting sqref="W45">
    <cfRule type="duplicateValues" dxfId="1848" priority="178"/>
  </conditionalFormatting>
  <conditionalFormatting sqref="X45">
    <cfRule type="duplicateValues" dxfId="1847" priority="177"/>
  </conditionalFormatting>
  <conditionalFormatting sqref="AB45">
    <cfRule type="duplicateValues" dxfId="1846" priority="176"/>
  </conditionalFormatting>
  <conditionalFormatting sqref="AB46">
    <cfRule type="duplicateValues" dxfId="1845" priority="175"/>
  </conditionalFormatting>
  <conditionalFormatting sqref="AB47">
    <cfRule type="duplicateValues" dxfId="1844" priority="174"/>
  </conditionalFormatting>
  <conditionalFormatting sqref="AC48:AC50">
    <cfRule type="duplicateValues" dxfId="1843" priority="173"/>
  </conditionalFormatting>
  <conditionalFormatting sqref="AC46">
    <cfRule type="duplicateValues" dxfId="1842" priority="172"/>
  </conditionalFormatting>
  <conditionalFormatting sqref="AC47">
    <cfRule type="duplicateValues" dxfId="1841" priority="171"/>
  </conditionalFormatting>
  <conditionalFormatting sqref="AC45">
    <cfRule type="duplicateValues" dxfId="1840" priority="170"/>
  </conditionalFormatting>
  <conditionalFormatting sqref="AD52:AM52">
    <cfRule type="duplicateValues" dxfId="1839" priority="166"/>
  </conditionalFormatting>
  <conditionalFormatting sqref="T52:AB52">
    <cfRule type="duplicateValues" dxfId="1838" priority="167"/>
  </conditionalFormatting>
  <conditionalFormatting sqref="AY52:BG52">
    <cfRule type="duplicateValues" dxfId="1837" priority="164"/>
  </conditionalFormatting>
  <conditionalFormatting sqref="AO52:AW52">
    <cfRule type="duplicateValues" dxfId="1836" priority="165"/>
  </conditionalFormatting>
  <conditionalFormatting sqref="BT52:CC52">
    <cfRule type="duplicateValues" dxfId="1835" priority="162"/>
  </conditionalFormatting>
  <conditionalFormatting sqref="BK52:BR52">
    <cfRule type="duplicateValues" dxfId="1834" priority="163"/>
  </conditionalFormatting>
  <conditionalFormatting sqref="CF52:CM52">
    <cfRule type="duplicateValues" dxfId="1833" priority="168"/>
  </conditionalFormatting>
  <conditionalFormatting sqref="CO52:CW52">
    <cfRule type="duplicateValues" dxfId="1832" priority="169"/>
  </conditionalFormatting>
  <conditionalFormatting sqref="DA52:DH52">
    <cfRule type="duplicateValues" dxfId="1831" priority="160"/>
  </conditionalFormatting>
  <conditionalFormatting sqref="DJ52:DR52">
    <cfRule type="duplicateValues" dxfId="1830" priority="161"/>
  </conditionalFormatting>
  <conditionalFormatting sqref="DV52:EC52">
    <cfRule type="duplicateValues" dxfId="1829" priority="159"/>
  </conditionalFormatting>
  <conditionalFormatting sqref="EQ52:EX52">
    <cfRule type="duplicateValues" dxfId="1828" priority="158"/>
  </conditionalFormatting>
  <conditionalFormatting sqref="EZ52:FH52">
    <cfRule type="duplicateValues" dxfId="1827" priority="157"/>
  </conditionalFormatting>
  <conditionalFormatting sqref="FL52:FS52">
    <cfRule type="duplicateValues" dxfId="1826" priority="156"/>
  </conditionalFormatting>
  <conditionalFormatting sqref="FU52:GC52">
    <cfRule type="duplicateValues" dxfId="1825" priority="155"/>
  </conditionalFormatting>
  <conditionalFormatting sqref="GG52:GN52">
    <cfRule type="duplicateValues" dxfId="1824" priority="154"/>
  </conditionalFormatting>
  <conditionalFormatting sqref="GP52:GX52">
    <cfRule type="duplicateValues" dxfId="1823" priority="153"/>
  </conditionalFormatting>
  <conditionalFormatting sqref="HB52:HI52">
    <cfRule type="duplicateValues" dxfId="1822" priority="152"/>
  </conditionalFormatting>
  <conditionalFormatting sqref="HK52:HS52">
    <cfRule type="duplicateValues" dxfId="1821" priority="151"/>
  </conditionalFormatting>
  <conditionalFormatting sqref="HW52:ID52">
    <cfRule type="duplicateValues" dxfId="1820" priority="150"/>
  </conditionalFormatting>
  <conditionalFormatting sqref="IF52:IN52">
    <cfRule type="duplicateValues" dxfId="1819" priority="149"/>
  </conditionalFormatting>
  <conditionalFormatting sqref="IR52:IY52">
    <cfRule type="duplicateValues" dxfId="1818" priority="148"/>
  </conditionalFormatting>
  <conditionalFormatting sqref="JA52:JI52">
    <cfRule type="duplicateValues" dxfId="1817" priority="147"/>
  </conditionalFormatting>
  <conditionalFormatting sqref="JM52:JT52">
    <cfRule type="duplicateValues" dxfId="1816" priority="146"/>
  </conditionalFormatting>
  <conditionalFormatting sqref="JV52:KD52">
    <cfRule type="duplicateValues" dxfId="1815" priority="145"/>
  </conditionalFormatting>
  <conditionalFormatting sqref="KH52:KO52">
    <cfRule type="duplicateValues" dxfId="1814" priority="144"/>
  </conditionalFormatting>
  <conditionalFormatting sqref="KQ52:KY52">
    <cfRule type="duplicateValues" dxfId="1813" priority="143"/>
  </conditionalFormatting>
  <conditionalFormatting sqref="LL52:LT52">
    <cfRule type="duplicateValues" dxfId="1812" priority="142"/>
  </conditionalFormatting>
  <conditionalFormatting sqref="LC52:LJ52">
    <cfRule type="duplicateValues" dxfId="1811" priority="141"/>
  </conditionalFormatting>
  <conditionalFormatting sqref="LX52:ME52">
    <cfRule type="duplicateValues" dxfId="1810" priority="140"/>
  </conditionalFormatting>
  <conditionalFormatting sqref="MG52:MO52">
    <cfRule type="duplicateValues" dxfId="1809" priority="139"/>
  </conditionalFormatting>
  <conditionalFormatting sqref="MS52:MZ52">
    <cfRule type="duplicateValues" dxfId="1808" priority="138"/>
  </conditionalFormatting>
  <conditionalFormatting sqref="NB52:NJ52">
    <cfRule type="duplicateValues" dxfId="1807" priority="137"/>
  </conditionalFormatting>
  <conditionalFormatting sqref="NN52:NU52">
    <cfRule type="duplicateValues" dxfId="1806" priority="136"/>
  </conditionalFormatting>
  <conditionalFormatting sqref="NW52:OE52">
    <cfRule type="duplicateValues" dxfId="1805" priority="135"/>
  </conditionalFormatting>
  <conditionalFormatting sqref="OI52:OP52">
    <cfRule type="duplicateValues" dxfId="1804" priority="134"/>
  </conditionalFormatting>
  <conditionalFormatting sqref="OR52:OZ52">
    <cfRule type="duplicateValues" dxfId="1803" priority="133"/>
  </conditionalFormatting>
  <conditionalFormatting sqref="PD52:PK52">
    <cfRule type="duplicateValues" dxfId="1802" priority="132"/>
  </conditionalFormatting>
  <conditionalFormatting sqref="PM52:PU52">
    <cfRule type="duplicateValues" dxfId="1801" priority="131"/>
  </conditionalFormatting>
  <conditionalFormatting sqref="PY52:QF52">
    <cfRule type="duplicateValues" dxfId="1800" priority="130"/>
  </conditionalFormatting>
  <conditionalFormatting sqref="QH52:QQ52">
    <cfRule type="duplicateValues" dxfId="1799" priority="129"/>
  </conditionalFormatting>
  <conditionalFormatting sqref="T53:AB53 AD53:AL53">
    <cfRule type="duplicateValues" dxfId="1798" priority="128"/>
  </conditionalFormatting>
  <conditionalFormatting sqref="BJ52">
    <cfRule type="duplicateValues" dxfId="1797" priority="127"/>
  </conditionalFormatting>
  <conditionalFormatting sqref="CE52">
    <cfRule type="duplicateValues" dxfId="1796" priority="126"/>
  </conditionalFormatting>
  <conditionalFormatting sqref="CZ52">
    <cfRule type="duplicateValues" dxfId="1795" priority="125"/>
  </conditionalFormatting>
  <conditionalFormatting sqref="DU52">
    <cfRule type="duplicateValues" dxfId="1794" priority="124"/>
  </conditionalFormatting>
  <conditionalFormatting sqref="EP52">
    <cfRule type="duplicateValues" dxfId="1793" priority="123"/>
  </conditionalFormatting>
  <conditionalFormatting sqref="FK52">
    <cfRule type="duplicateValues" dxfId="1792" priority="122"/>
  </conditionalFormatting>
  <conditionalFormatting sqref="GF52">
    <cfRule type="duplicateValues" dxfId="1791" priority="121"/>
  </conditionalFormatting>
  <conditionalFormatting sqref="HA52">
    <cfRule type="duplicateValues" dxfId="1790" priority="120"/>
  </conditionalFormatting>
  <conditionalFormatting sqref="HV52">
    <cfRule type="duplicateValues" dxfId="1789" priority="119"/>
  </conditionalFormatting>
  <conditionalFormatting sqref="IQ52">
    <cfRule type="duplicateValues" dxfId="1788" priority="118"/>
  </conditionalFormatting>
  <conditionalFormatting sqref="JL52">
    <cfRule type="duplicateValues" dxfId="1787" priority="117"/>
  </conditionalFormatting>
  <conditionalFormatting sqref="KG52">
    <cfRule type="duplicateValues" dxfId="1786" priority="116"/>
  </conditionalFormatting>
  <conditionalFormatting sqref="LB52">
    <cfRule type="duplicateValues" dxfId="1785" priority="115"/>
  </conditionalFormatting>
  <conditionalFormatting sqref="LW52">
    <cfRule type="duplicateValues" dxfId="1784" priority="114"/>
  </conditionalFormatting>
  <conditionalFormatting sqref="MR52">
    <cfRule type="duplicateValues" dxfId="1783" priority="113"/>
  </conditionalFormatting>
  <conditionalFormatting sqref="NM52">
    <cfRule type="duplicateValues" dxfId="1782" priority="112"/>
  </conditionalFormatting>
  <conditionalFormatting sqref="OH52">
    <cfRule type="duplicateValues" dxfId="1781" priority="111"/>
  </conditionalFormatting>
  <conditionalFormatting sqref="PC52">
    <cfRule type="duplicateValues" dxfId="1780" priority="110"/>
  </conditionalFormatting>
  <conditionalFormatting sqref="PX52">
    <cfRule type="duplicateValues" dxfId="1779" priority="109"/>
  </conditionalFormatting>
  <conditionalFormatting sqref="AO53:AW53 AY53:BG53">
    <cfRule type="duplicateValues" dxfId="1778" priority="108"/>
  </conditionalFormatting>
  <conditionalFormatting sqref="BJ53:BR53 BT53:CB53">
    <cfRule type="duplicateValues" dxfId="1777" priority="107"/>
  </conditionalFormatting>
  <conditionalFormatting sqref="CE53:CM53 DJ53:DR53">
    <cfRule type="duplicateValues" dxfId="1776" priority="106"/>
  </conditionalFormatting>
  <conditionalFormatting sqref="DU53:EC53 EE53:EM53">
    <cfRule type="duplicateValues" dxfId="1775" priority="105"/>
  </conditionalFormatting>
  <conditionalFormatting sqref="EP53:EX53 EZ53:FH53">
    <cfRule type="duplicateValues" dxfId="1774" priority="104"/>
  </conditionalFormatting>
  <conditionalFormatting sqref="FK53:FS53 FU53:GC53">
    <cfRule type="duplicateValues" dxfId="1773" priority="103"/>
  </conditionalFormatting>
  <conditionalFormatting sqref="T55:AC55">
    <cfRule type="duplicateValues" dxfId="1772" priority="102"/>
  </conditionalFormatting>
  <conditionalFormatting sqref="T57:AC57">
    <cfRule type="duplicateValues" dxfId="1771" priority="101"/>
  </conditionalFormatting>
  <conditionalFormatting sqref="T58:AC58 AC59:AC61">
    <cfRule type="duplicateValues" dxfId="1770" priority="100"/>
  </conditionalFormatting>
  <conditionalFormatting sqref="T59:AB59">
    <cfRule type="duplicateValues" dxfId="1769" priority="99"/>
  </conditionalFormatting>
  <conditionalFormatting sqref="AC59">
    <cfRule type="duplicateValues" dxfId="1768" priority="98"/>
  </conditionalFormatting>
  <conditionalFormatting sqref="T60:AB60">
    <cfRule type="duplicateValues" dxfId="1767" priority="97"/>
  </conditionalFormatting>
  <conditionalFormatting sqref="AC60">
    <cfRule type="duplicateValues" dxfId="1766" priority="96"/>
  </conditionalFormatting>
  <conditionalFormatting sqref="T63:AB63">
    <cfRule type="duplicateValues" dxfId="1765" priority="95"/>
  </conditionalFormatting>
  <conditionalFormatting sqref="AC63">
    <cfRule type="duplicateValues" dxfId="1764" priority="94"/>
  </conditionalFormatting>
  <conditionalFormatting sqref="T56:AC56">
    <cfRule type="duplicateValues" dxfId="1763" priority="93"/>
  </conditionalFormatting>
  <conditionalFormatting sqref="T61:AB61">
    <cfRule type="duplicateValues" dxfId="1762" priority="92"/>
  </conditionalFormatting>
  <conditionalFormatting sqref="AC61">
    <cfRule type="duplicateValues" dxfId="1761" priority="91"/>
  </conditionalFormatting>
  <conditionalFormatting sqref="T62:AB62">
    <cfRule type="duplicateValues" dxfId="1760" priority="90"/>
  </conditionalFormatting>
  <conditionalFormatting sqref="AC62">
    <cfRule type="duplicateValues" dxfId="1759" priority="89"/>
  </conditionalFormatting>
  <conditionalFormatting sqref="AC51">
    <cfRule type="duplicateValues" dxfId="1758" priority="87"/>
  </conditionalFormatting>
  <conditionalFormatting sqref="T51:AB51">
    <cfRule type="duplicateValues" dxfId="1757" priority="88"/>
  </conditionalFormatting>
  <conditionalFormatting sqref="EE52:EM52">
    <cfRule type="duplicateValues" dxfId="1756" priority="86"/>
  </conditionalFormatting>
  <conditionalFormatting sqref="CO53:CW53">
    <cfRule type="duplicateValues" dxfId="1755" priority="85"/>
  </conditionalFormatting>
  <conditionalFormatting sqref="T54:AB54 AD54:AM54">
    <cfRule type="duplicateValues" dxfId="1754" priority="84"/>
  </conditionalFormatting>
  <conditionalFormatting sqref="AO54:AW54 AY54:BH54">
    <cfRule type="duplicateValues" dxfId="1753" priority="83"/>
  </conditionalFormatting>
  <conditionalFormatting sqref="BJ54:BR54 BT54:CC54">
    <cfRule type="duplicateValues" dxfId="1752" priority="82"/>
  </conditionalFormatting>
  <conditionalFormatting sqref="CE54:CM54 DJ54:DS54">
    <cfRule type="duplicateValues" dxfId="1751" priority="81"/>
  </conditionalFormatting>
  <conditionalFormatting sqref="DU54:EC54 EE54:EN54">
    <cfRule type="duplicateValues" dxfId="1750" priority="80"/>
  </conditionalFormatting>
  <conditionalFormatting sqref="CO54:CX54">
    <cfRule type="duplicateValues" dxfId="1749" priority="79"/>
  </conditionalFormatting>
  <conditionalFormatting sqref="AM51">
    <cfRule type="duplicateValues" dxfId="1748" priority="77"/>
  </conditionalFormatting>
  <conditionalFormatting sqref="AD51:AL51">
    <cfRule type="duplicateValues" dxfId="1747" priority="78"/>
  </conditionalFormatting>
  <conditionalFormatting sqref="AM53">
    <cfRule type="duplicateValues" dxfId="1746" priority="76"/>
  </conditionalFormatting>
  <conditionalFormatting sqref="BH52">
    <cfRule type="duplicateValues" dxfId="1745" priority="75"/>
  </conditionalFormatting>
  <conditionalFormatting sqref="BH53">
    <cfRule type="duplicateValues" dxfId="1744" priority="74"/>
  </conditionalFormatting>
  <conditionalFormatting sqref="CC53">
    <cfRule type="duplicateValues" dxfId="1743" priority="73"/>
  </conditionalFormatting>
  <conditionalFormatting sqref="CX52">
    <cfRule type="duplicateValues" dxfId="1742" priority="72"/>
  </conditionalFormatting>
  <conditionalFormatting sqref="CX53">
    <cfRule type="duplicateValues" dxfId="1741" priority="71"/>
  </conditionalFormatting>
  <conditionalFormatting sqref="DS52">
    <cfRule type="duplicateValues" dxfId="1740" priority="70"/>
  </conditionalFormatting>
  <conditionalFormatting sqref="DS53">
    <cfRule type="duplicateValues" dxfId="1739" priority="69"/>
  </conditionalFormatting>
  <conditionalFormatting sqref="EN52">
    <cfRule type="duplicateValues" dxfId="1738" priority="68"/>
  </conditionalFormatting>
  <conditionalFormatting sqref="EN53">
    <cfRule type="duplicateValues" dxfId="1737" priority="67"/>
  </conditionalFormatting>
  <conditionalFormatting sqref="FI52">
    <cfRule type="duplicateValues" dxfId="1736" priority="66"/>
  </conditionalFormatting>
  <conditionalFormatting sqref="FI53">
    <cfRule type="duplicateValues" dxfId="1735" priority="65"/>
  </conditionalFormatting>
  <conditionalFormatting sqref="GD52">
    <cfRule type="duplicateValues" dxfId="1734" priority="64"/>
  </conditionalFormatting>
  <conditionalFormatting sqref="GD53">
    <cfRule type="duplicateValues" dxfId="1733" priority="63"/>
  </conditionalFormatting>
  <conditionalFormatting sqref="PV52">
    <cfRule type="duplicateValues" dxfId="1732" priority="62"/>
  </conditionalFormatting>
  <conditionalFormatting sqref="PA52">
    <cfRule type="duplicateValues" dxfId="1731" priority="61"/>
  </conditionalFormatting>
  <conditionalFormatting sqref="OF52">
    <cfRule type="duplicateValues" dxfId="1730" priority="60"/>
  </conditionalFormatting>
  <conditionalFormatting sqref="NK52">
    <cfRule type="duplicateValues" dxfId="1729" priority="59"/>
  </conditionalFormatting>
  <conditionalFormatting sqref="MP52">
    <cfRule type="duplicateValues" dxfId="1728" priority="58"/>
  </conditionalFormatting>
  <conditionalFormatting sqref="LU52">
    <cfRule type="duplicateValues" dxfId="1727" priority="57"/>
  </conditionalFormatting>
  <conditionalFormatting sqref="KZ52">
    <cfRule type="duplicateValues" dxfId="1726" priority="56"/>
  </conditionalFormatting>
  <conditionalFormatting sqref="KE52">
    <cfRule type="duplicateValues" dxfId="1725" priority="55"/>
  </conditionalFormatting>
  <conditionalFormatting sqref="JJ52">
    <cfRule type="duplicateValues" dxfId="1724" priority="54"/>
  </conditionalFormatting>
  <conditionalFormatting sqref="IO52">
    <cfRule type="duplicateValues" dxfId="1723" priority="53"/>
  </conditionalFormatting>
  <conditionalFormatting sqref="HT52">
    <cfRule type="duplicateValues" dxfId="1722" priority="52"/>
  </conditionalFormatting>
  <conditionalFormatting sqref="GY52">
    <cfRule type="duplicateValues" dxfId="1721" priority="51"/>
  </conditionalFormatting>
  <conditionalFormatting sqref="AC67">
    <cfRule type="duplicateValues" dxfId="1720" priority="50"/>
  </conditionalFormatting>
  <conditionalFormatting sqref="T70:AC70">
    <cfRule type="duplicateValues" dxfId="1719" priority="49"/>
  </conditionalFormatting>
  <conditionalFormatting sqref="T71:AC71">
    <cfRule type="duplicateValues" dxfId="1718" priority="48"/>
  </conditionalFormatting>
  <conditionalFormatting sqref="T72:AB72">
    <cfRule type="duplicateValues" dxfId="1717" priority="47"/>
  </conditionalFormatting>
  <conditionalFormatting sqref="AC72">
    <cfRule type="duplicateValues" dxfId="1716" priority="46"/>
  </conditionalFormatting>
  <conditionalFormatting sqref="AC73">
    <cfRule type="duplicateValues" dxfId="1715" priority="45"/>
  </conditionalFormatting>
  <conditionalFormatting sqref="T73:AB73">
    <cfRule type="duplicateValues" dxfId="1714" priority="44"/>
  </conditionalFormatting>
  <conditionalFormatting sqref="T69:AB69">
    <cfRule type="duplicateValues" dxfId="1713" priority="43"/>
  </conditionalFormatting>
  <conditionalFormatting sqref="AC69">
    <cfRule type="duplicateValues" dxfId="1712" priority="42"/>
  </conditionalFormatting>
  <conditionalFormatting sqref="T75:AB75">
    <cfRule type="duplicateValues" dxfId="1711" priority="41"/>
  </conditionalFormatting>
  <conditionalFormatting sqref="AD75:AL75">
    <cfRule type="duplicateValues" dxfId="1710" priority="40"/>
  </conditionalFormatting>
  <conditionalFormatting sqref="AC76">
    <cfRule type="duplicateValues" dxfId="1709" priority="39"/>
  </conditionalFormatting>
  <conditionalFormatting sqref="T77:AB77">
    <cfRule type="duplicateValues" dxfId="1708" priority="33"/>
  </conditionalFormatting>
  <conditionalFormatting sqref="T78:AB78">
    <cfRule type="duplicateValues" dxfId="1707" priority="37"/>
  </conditionalFormatting>
  <conditionalFormatting sqref="T79:AB79">
    <cfRule type="duplicateValues" dxfId="1706" priority="32"/>
  </conditionalFormatting>
  <conditionalFormatting sqref="T80:AB80">
    <cfRule type="duplicateValues" dxfId="1705" priority="31"/>
  </conditionalFormatting>
  <conditionalFormatting sqref="U81:AB81">
    <cfRule type="duplicateValues" dxfId="1704" priority="30"/>
  </conditionalFormatting>
  <conditionalFormatting sqref="T81">
    <cfRule type="duplicateValues" dxfId="1703" priority="29"/>
  </conditionalFormatting>
  <conditionalFormatting sqref="T82:AB82">
    <cfRule type="duplicateValues" dxfId="1702" priority="28"/>
  </conditionalFormatting>
  <conditionalFormatting sqref="T83:AB83">
    <cfRule type="duplicateValues" dxfId="1701" priority="27"/>
  </conditionalFormatting>
  <conditionalFormatting sqref="T84:AB84">
    <cfRule type="duplicateValues" dxfId="1700" priority="26"/>
  </conditionalFormatting>
  <conditionalFormatting sqref="T85:AB85">
    <cfRule type="duplicateValues" dxfId="1699" priority="25"/>
  </conditionalFormatting>
  <conditionalFormatting sqref="T86:AB86">
    <cfRule type="duplicateValues" dxfId="1698" priority="24"/>
  </conditionalFormatting>
  <conditionalFormatting sqref="T88:AB88">
    <cfRule type="duplicateValues" dxfId="1697" priority="23"/>
  </conditionalFormatting>
  <conditionalFormatting sqref="T87:AB87">
    <cfRule type="duplicateValues" dxfId="1696" priority="38"/>
  </conditionalFormatting>
  <conditionalFormatting sqref="T89:AB89">
    <cfRule type="duplicateValues" dxfId="1695" priority="22"/>
  </conditionalFormatting>
  <conditionalFormatting sqref="AC77">
    <cfRule type="duplicateValues" dxfId="1694" priority="18"/>
  </conditionalFormatting>
  <conditionalFormatting sqref="AC79">
    <cfRule type="duplicateValues" dxfId="1693" priority="17"/>
  </conditionalFormatting>
  <conditionalFormatting sqref="AC80">
    <cfRule type="duplicateValues" dxfId="1692" priority="16"/>
  </conditionalFormatting>
  <conditionalFormatting sqref="AC78">
    <cfRule type="duplicateValues" dxfId="1691" priority="15"/>
  </conditionalFormatting>
  <conditionalFormatting sqref="AC81">
    <cfRule type="duplicateValues" dxfId="1690" priority="13"/>
  </conditionalFormatting>
  <conditionalFormatting sqref="AC82">
    <cfRule type="duplicateValues" dxfId="1689" priority="12"/>
  </conditionalFormatting>
  <conditionalFormatting sqref="AC83">
    <cfRule type="duplicateValues" dxfId="1688" priority="11"/>
  </conditionalFormatting>
  <conditionalFormatting sqref="AC84">
    <cfRule type="duplicateValues" dxfId="1687" priority="10"/>
  </conditionalFormatting>
  <conditionalFormatting sqref="AC85">
    <cfRule type="duplicateValues" dxfId="1686" priority="9"/>
  </conditionalFormatting>
  <conditionalFormatting sqref="AC86">
    <cfRule type="duplicateValues" dxfId="1685" priority="8"/>
  </conditionalFormatting>
  <conditionalFormatting sqref="AC88">
    <cfRule type="duplicateValues" dxfId="1684" priority="7"/>
  </conditionalFormatting>
  <conditionalFormatting sqref="AC87">
    <cfRule type="duplicateValues" dxfId="1683" priority="14"/>
  </conditionalFormatting>
  <conditionalFormatting sqref="AC89">
    <cfRule type="duplicateValues" dxfId="1682" priority="6"/>
  </conditionalFormatting>
  <conditionalFormatting sqref="T95:AB95">
    <cfRule type="duplicateValues" dxfId="1681" priority="5"/>
  </conditionalFormatting>
  <conditionalFormatting sqref="AD95:AG95">
    <cfRule type="duplicateValues" dxfId="1680" priority="4"/>
  </conditionalFormatting>
  <conditionalFormatting sqref="AH95:AL95">
    <cfRule type="duplicateValues" dxfId="1679" priority="3"/>
  </conditionalFormatting>
  <conditionalFormatting sqref="AM95">
    <cfRule type="duplicateValues" dxfId="1678" priority="2"/>
  </conditionalFormatting>
  <conditionalFormatting sqref="AC95">
    <cfRule type="duplicateValues" dxfId="1677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15388" r:id="rId5">
          <objectPr defaultSize="0" autoPict="0" r:id="rId6">
            <anchor moveWithCells="1" sizeWithCells="1">
              <from>
                <xdr:col>2</xdr:col>
                <xdr:colOff>198120</xdr:colOff>
                <xdr:row>67</xdr:row>
                <xdr:rowOff>68580</xdr:rowOff>
              </from>
              <to>
                <xdr:col>2</xdr:col>
                <xdr:colOff>609600</xdr:colOff>
                <xdr:row>67</xdr:row>
                <xdr:rowOff>373380</xdr:rowOff>
              </to>
            </anchor>
          </objectPr>
        </oleObject>
      </mc:Choice>
      <mc:Fallback>
        <oleObject progId="CorelDraw.Graphic.15" shapeId="15388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8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9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0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1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2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7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19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457200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0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1" name="Option Button 27">
              <controlPr defaultSize="0" autoFill="0" autoLine="0" autoPict="0" altText="">
                <anchor moveWithCells="1">
                  <from>
                    <xdr:col>12</xdr:col>
                    <xdr:colOff>106680</xdr:colOff>
                    <xdr:row>14</xdr:row>
                    <xdr:rowOff>121920</xdr:rowOff>
                  </from>
                  <to>
                    <xdr:col>12</xdr:col>
                    <xdr:colOff>152400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2" name="Option Button 2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3" name="Option Button 30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297180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4" name="Option Button 31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640080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25" name="Group Box 39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26" name="Option Button 40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27" name="Option Button 41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27" id="{C6B04C39-62C4-44E1-A8A3-6E8A8EF01400}">
            <xm:f>$H$33=Formeln!$A$1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H33:K33</xm:sqref>
        </x14:conditionalFormatting>
        <x14:conditionalFormatting xmlns:xm="http://schemas.microsoft.com/office/excel/2006/main">
          <x14:cfRule type="expression" priority="626" id="{811D8A53-6EB1-48C6-9C9B-2D6956F3D007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25" id="{BCCC9902-11B2-4F0D-91A6-75B21B4C2D28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618" id="{C7E13350-BAC6-4E0F-906B-E28FCD2A7223}">
            <xm:f>$I$95=Formeln!$A$1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I95:K95</xm:sqref>
        </x14:conditionalFormatting>
        <x14:conditionalFormatting xmlns:xm="http://schemas.microsoft.com/office/excel/2006/main">
          <x14:cfRule type="expression" priority="617" id="{7A947124-C563-4556-A6A1-5DB723CF24FE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</xm:sqref>
        </x14:conditionalFormatting>
        <x14:conditionalFormatting xmlns:xm="http://schemas.microsoft.com/office/excel/2006/main">
          <x14:cfRule type="expression" priority="616" id="{31435A1C-A1A7-47E1-8CDF-E7DA03BF965D}">
            <xm:f>$K$96=Formeln!$A$1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K96</xm:sqref>
        </x14:conditionalFormatting>
        <x14:conditionalFormatting xmlns:xm="http://schemas.microsoft.com/office/excel/2006/main">
          <x14:cfRule type="expression" priority="385" id="{0E9375E0-C38C-4628-92C4-C8559B1DB1B5}">
            <xm:f>$H46=Formeln!$A$14</xm:f>
            <x14:dxf>
              <fill>
                <patternFill>
                  <bgColor theme="0" tint="-0.14996795556505021"/>
                </patternFill>
              </fill>
            </x14:dxf>
          </x14:cfRule>
          <xm:sqref>H46:K46</xm:sqref>
        </x14:conditionalFormatting>
        <x14:conditionalFormatting xmlns:xm="http://schemas.microsoft.com/office/excel/2006/main">
          <x14:cfRule type="expression" priority="384" id="{D1A8A41D-9147-4A8B-AA69-3DFEE9610853}">
            <xm:f>$H47=Formeln!$A$17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229" id="{A36D6423-6B3C-46C7-B4C6-80ADCEC3D297}">
            <xm:f>$J52=Formeln!$A$1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J52:K52</xm:sqref>
        </x14:conditionalFormatting>
        <x14:conditionalFormatting xmlns:xm="http://schemas.microsoft.com/office/excel/2006/main">
          <x14:cfRule type="expression" priority="228" id="{8878BCDF-D94B-4B5C-BDF1-5E8B14A4B6F3}">
            <xm:f>$J53=Formeln!$A$1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227" id="{489C952F-67E5-4CE4-9824-F4562B27CF6E}">
            <xm:f>$J54=Formeln!$A$1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400-000000000000}">
          <x14:formula1>
            <xm:f>Formeln!$A$27:$A$48</xm:f>
          </x14:formula1>
          <xm:sqref>J52:K52</xm:sqref>
        </x14:dataValidation>
        <x14:dataValidation type="list" allowBlank="1" showInputMessage="1" showErrorMessage="1" xr:uid="{00000000-0002-0000-0400-000001000000}">
          <x14:formula1>
            <xm:f>Formeln!$A$20:$A$22</xm:f>
          </x14:formula1>
          <xm:sqref>I96</xm:sqref>
        </x14:dataValidation>
        <x14:dataValidation type="list" allowBlank="1" showInputMessage="1" showErrorMessage="1" xr:uid="{00000000-0002-0000-0400-000002000000}">
          <x14:formula1>
            <xm:f>Formeln!$A$17:$A$19</xm:f>
          </x14:formula1>
          <xm:sqref>H47:K47</xm:sqref>
        </x14:dataValidation>
        <x14:dataValidation type="list" allowBlank="1" showInputMessage="1" showErrorMessage="1" xr:uid="{00000000-0002-0000-0400-000003000000}">
          <x14:formula1>
            <xm:f>Formeln!$A$14:$A$16</xm:f>
          </x14:formula1>
          <xm:sqref>H46:K46</xm:sqref>
        </x14:dataValidation>
        <x14:dataValidation type="list" allowBlank="1" showInputMessage="1" showErrorMessage="1" xr:uid="{00000000-0002-0000-0400-000004000000}">
          <x14:formula1>
            <xm:f>Formeln!$A$9:$A$12</xm:f>
          </x14:formula1>
          <xm:sqref>H36:K36</xm:sqref>
        </x14:dataValidation>
        <x14:dataValidation type="list" allowBlank="1" showInputMessage="1" showErrorMessage="1" xr:uid="{00000000-0002-0000-0400-000005000000}">
          <x14:formula1>
            <xm:f>Formeln!$A$5:$A$8</xm:f>
          </x14:formula1>
          <xm:sqref>H34:K34</xm:sqref>
        </x14:dataValidation>
        <x14:dataValidation type="list" allowBlank="1" showInputMessage="1" showErrorMessage="1" xr:uid="{00000000-0002-0000-0400-000006000000}">
          <x14:formula1>
            <xm:f>Formeln!$A$1:$A$4</xm:f>
          </x14:formula1>
          <xm:sqref>H33:K33</xm:sqref>
        </x14:dataValidation>
        <x14:dataValidation type="list" allowBlank="1" showInputMessage="1" showErrorMessage="1" xr:uid="{00000000-0002-0000-0400-000007000000}">
          <x14:formula1>
            <xm:f>Formeln!$A$103:$A$108</xm:f>
          </x14:formula1>
          <xm:sqref>I95:K95</xm:sqref>
        </x14:dataValidation>
        <x14:dataValidation type="list" allowBlank="1" showInputMessage="1" showErrorMessage="1" xr:uid="{00000000-0002-0000-0400-000008000000}">
          <x14:formula1>
            <xm:f>Formeln!$A$49:$A$100</xm:f>
          </x14:formula1>
          <xm:sqref>J53:K53</xm:sqref>
        </x14:dataValidation>
        <x14:dataValidation type="list" allowBlank="1" showInputMessage="1" showErrorMessage="1" xr:uid="{00000000-0002-0000-0400-000009000000}">
          <x14:formula1>
            <xm:f>Formeln!$C$49:$C$108</xm:f>
          </x14:formula1>
          <xm:sqref>J54:K54</xm:sqref>
        </x14:dataValidation>
        <x14:dataValidation type="list" allowBlank="1" showInputMessage="1" showErrorMessage="1" xr:uid="{00000000-0002-0000-0400-00000A000000}">
          <x14:formula1>
            <xm:f>Formeln!$A$124:$A$134</xm:f>
          </x14:formula1>
          <xm:sqref>K96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/>
  <dimension ref="A1:QR122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VLOOKUP("DACHRAUTE 44 × 44",Sprachindex!A:Z,Info!$O$6,FALSE)</f>
        <v>DACHRAUTE 44 × 44</v>
      </c>
    </row>
    <row r="3" spans="1:17" ht="15" customHeight="1"/>
    <row r="4" spans="1:17" ht="17.25" customHeight="1">
      <c r="J4" s="107" t="str">
        <f>VLOOKUP("RETOURNIERUNG PER FAX:",Sprachindex!A:Z,Info!$O$6,FALSE)</f>
        <v>RETOURNIERUNG PER FAX:</v>
      </c>
      <c r="K4" s="254"/>
      <c r="L4" s="255"/>
      <c r="M4" s="256"/>
      <c r="Q4" s="3"/>
    </row>
    <row r="5" spans="1:17" ht="17.25" customHeight="1">
      <c r="J5" s="107" t="str">
        <f>VLOOKUP("ODER EMAIL:",Sprachindex!A:Z,Info!$O$6,FALSE)</f>
        <v>ODER EMAIL:</v>
      </c>
      <c r="K5" s="254"/>
      <c r="L5" s="255"/>
      <c r="M5" s="256"/>
      <c r="Q5" s="3"/>
    </row>
    <row r="6" spans="1:17" ht="17.25" customHeight="1">
      <c r="J6" s="107" t="str">
        <f>VLOOKUP("Datum:",Sprachindex!A:Z,Info!$O$6,FALSE)</f>
        <v>Datum:</v>
      </c>
      <c r="K6" s="254"/>
      <c r="L6" s="255"/>
      <c r="M6" s="256"/>
      <c r="N6" s="54">
        <v>0</v>
      </c>
      <c r="Q6" s="3"/>
    </row>
    <row r="7" spans="1:17" ht="17.25" customHeight="1">
      <c r="J7" s="107" t="str">
        <f>VLOOKUP("Bestellnummer:",Sprachindex!A:Z,Info!$O$6,FALSE)</f>
        <v>Bestellnummer:</v>
      </c>
      <c r="K7" s="254"/>
      <c r="L7" s="255"/>
      <c r="M7" s="256"/>
      <c r="N7" s="54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M9" s="86"/>
      <c r="N9" s="55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  <c r="M16" s="86"/>
    </row>
    <row r="17" spans="1:3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54"/>
      <c r="Q24" s="4"/>
    </row>
    <row r="25" spans="1:39" ht="15" customHeight="1"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54"/>
      <c r="Q25" s="4"/>
    </row>
    <row r="26" spans="1:39" ht="15" customHeight="1"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91"/>
      <c r="J26" s="280"/>
      <c r="K26" s="281"/>
      <c r="L26" s="86"/>
      <c r="M26" s="86"/>
      <c r="N26" s="54"/>
      <c r="Q26" s="4"/>
    </row>
    <row r="27" spans="1:39" ht="15" customHeight="1">
      <c r="B27" s="283"/>
      <c r="C27" s="254"/>
      <c r="D27" s="255"/>
      <c r="E27" s="256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P29" s="282" t="s">
        <v>24</v>
      </c>
      <c r="Q29" s="282"/>
    </row>
    <row r="30" spans="1:39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O30" s="1"/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VLOOKUP("Dachraute 44x44",Sprachindex!A:Z,Info!$O$6,FALSE)</f>
        <v>Dachraute 44x44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191" t="str">
        <f>ROUNDUP($A31/8,0)*8&amp;" " &amp; Formeln!$A$110 &amp; "                     "  &amp; "(="&amp;ROUNDUP($A31/8,0)*8*5.25&amp; " " &amp; Formeln!$A$111 &amp; ")"</f>
        <v>0 m²                     (=0 STK)</v>
      </c>
      <c r="Q31" s="191" t="str">
        <f>ROUNDUP($A31,0) &amp;" " &amp; Formeln!$A$110 &amp; "                          (="&amp; ROUNDUP(ROUNDUP($A31,0)*5.25,0)&amp;" " &amp; Formeln!$A$111 &amp; ")"</f>
        <v>0 m²                          (=0 STK)</v>
      </c>
      <c r="T31" s="46">
        <v>112221</v>
      </c>
      <c r="U31" s="46">
        <v>112222</v>
      </c>
      <c r="V31" s="46">
        <v>112223</v>
      </c>
      <c r="W31" s="46">
        <v>112224</v>
      </c>
      <c r="X31" s="46">
        <v>112225</v>
      </c>
      <c r="Y31" s="46">
        <v>112226</v>
      </c>
      <c r="Z31" s="46">
        <v>112228</v>
      </c>
      <c r="AA31" s="46">
        <v>112227</v>
      </c>
      <c r="AB31" s="46">
        <v>112229</v>
      </c>
      <c r="AC31" s="46"/>
      <c r="AD31" s="46">
        <v>112201</v>
      </c>
      <c r="AE31" s="46">
        <v>112202</v>
      </c>
      <c r="AF31" s="46">
        <v>112203</v>
      </c>
      <c r="AG31" s="46">
        <v>112204</v>
      </c>
      <c r="AH31" s="46">
        <v>112205</v>
      </c>
      <c r="AI31" s="46">
        <v>112206</v>
      </c>
      <c r="AJ31" s="46">
        <v>112208</v>
      </c>
      <c r="AK31" s="46">
        <v>112207</v>
      </c>
      <c r="AL31" s="46">
        <v>112209</v>
      </c>
      <c r="AM31" s="46">
        <v>112210</v>
      </c>
    </row>
    <row r="32" spans="1:39" ht="32.1" customHeight="1">
      <c r="A32" s="118"/>
      <c r="B32" s="96" t="str">
        <f>VLOOKUP("STK",Sprachindex!A:Z,Info!$O$6,FALSE)</f>
        <v>STK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0" t="str">
        <f>VLOOKUP("Startplatte f. Dachraute 44x44, inkl. Befestigung",Sprachindex!A:Z,Info!$O$6,FALSE)</f>
        <v>Startplatte f. Dachraute 44x44, inkl. Befestigung</v>
      </c>
      <c r="F32" s="251"/>
      <c r="G32" s="251"/>
      <c r="H32" s="251"/>
      <c r="I32" s="251"/>
      <c r="J32" s="251"/>
      <c r="K32" s="257"/>
      <c r="L32" s="96" t="str">
        <f>IF(A32=0,"",IF($N$11=1,P32,Q32))</f>
        <v/>
      </c>
      <c r="M32" s="97"/>
      <c r="O32" s="1"/>
      <c r="P32" s="191" t="str">
        <f>ROUNDUP(ROUNDUP($A32/40,0)*40,1) &amp; " " &amp; Formeln!$A$111 &amp; "                     " &amp; "(="&amp;ROUNDUP(ROUNDUP($A32/40,0)*40/1.48,1) &amp; " " &amp; Formeln!$A$112 &amp; ")"</f>
        <v>0 STK                     (=0 lfm)</v>
      </c>
      <c r="Q32" s="191" t="str">
        <f>ROUNDUP($A32,0) &amp; " " &amp; Formeln!$A$111 &amp; "                     " &amp; "(="&amp; ROUNDUP(ROUNDUP($A32,0)/1.48,1)&amp; " " &amp; Formeln!$A$112 &amp; ")"</f>
        <v>0 STK                     (=0 lfm)</v>
      </c>
      <c r="T32" s="46">
        <v>112261</v>
      </c>
      <c r="U32" s="46">
        <v>112262</v>
      </c>
      <c r="V32" s="46">
        <v>112263</v>
      </c>
      <c r="W32" s="46">
        <v>112264</v>
      </c>
      <c r="X32" s="46">
        <v>112265</v>
      </c>
      <c r="Y32" s="46">
        <v>112266</v>
      </c>
      <c r="Z32" s="46">
        <v>112268</v>
      </c>
      <c r="AA32" s="46">
        <v>112267</v>
      </c>
      <c r="AB32" s="46">
        <v>112269</v>
      </c>
      <c r="AC32" s="46"/>
      <c r="AD32" s="46">
        <v>112241</v>
      </c>
      <c r="AE32" s="46">
        <v>112242</v>
      </c>
      <c r="AF32" s="46">
        <v>112243</v>
      </c>
      <c r="AG32" s="46">
        <v>112244</v>
      </c>
      <c r="AH32" s="46">
        <v>112245</v>
      </c>
      <c r="AI32" s="46">
        <v>112246</v>
      </c>
      <c r="AJ32" s="46">
        <v>112248</v>
      </c>
      <c r="AK32" s="46">
        <v>112247</v>
      </c>
      <c r="AL32" s="46">
        <v>112249</v>
      </c>
      <c r="AM32" s="46">
        <v>112250</v>
      </c>
    </row>
    <row r="33" spans="1:39" ht="32.1" customHeight="1">
      <c r="A33" s="118"/>
      <c r="B33" s="96" t="str">
        <f>VLOOKUP("STK",Sprachindex!A:Z,Info!$O$6,FALSE)</f>
        <v>STK</v>
      </c>
      <c r="C33" s="95"/>
      <c r="D33" s="95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250" t="str">
        <f>VLOOKUP("Endplatte f. Dachraute 44x44, inkl. Befestigung",Sprachindex!A:Z,Info!$O$6,FALSE)</f>
        <v>Endplatte f. Dachraute 44x44, inkl. Befestigung</v>
      </c>
      <c r="F33" s="251"/>
      <c r="G33" s="251"/>
      <c r="H33" s="251"/>
      <c r="I33" s="251"/>
      <c r="J33" s="251"/>
      <c r="K33" s="257"/>
      <c r="L33" s="96" t="str">
        <f>IF(A33=0,"",IF($N$11=1,P33,Q33))</f>
        <v/>
      </c>
      <c r="M33" s="97"/>
      <c r="O33" s="1"/>
      <c r="P33" s="191" t="str">
        <f>ROUNDUP(ROUNDUP($A33/40,0)*40,1) &amp; " " &amp; Formeln!$A$111 &amp; "                     " &amp; "(="&amp;ROUNDUP(ROUNDUP($A33/40,0)*40/1.48,1) &amp; " " &amp; Formeln!$A$112 &amp; ")"</f>
        <v>0 STK                     (=0 lfm)</v>
      </c>
      <c r="Q33" s="191" t="str">
        <f>ROUNDUP($A33,0) &amp; " " &amp; Formeln!$A$111 &amp; "                     " &amp; "(="&amp; ROUNDUP(ROUNDUP($A33,0)/1.48,1)&amp; " " &amp; Formeln!$A$112 &amp; ")"</f>
        <v>0 STK                     (=0 lfm)</v>
      </c>
      <c r="T33" s="46">
        <v>112301</v>
      </c>
      <c r="U33" s="46">
        <v>112302</v>
      </c>
      <c r="V33" s="46">
        <v>112303</v>
      </c>
      <c r="W33" s="46">
        <v>112304</v>
      </c>
      <c r="X33" s="46">
        <v>112305</v>
      </c>
      <c r="Y33" s="46">
        <v>112306</v>
      </c>
      <c r="Z33" s="46">
        <v>112308</v>
      </c>
      <c r="AA33" s="46">
        <v>112307</v>
      </c>
      <c r="AB33" s="46">
        <v>112309</v>
      </c>
      <c r="AC33" s="46"/>
      <c r="AD33" s="46">
        <v>112281</v>
      </c>
      <c r="AE33" s="46">
        <v>112282</v>
      </c>
      <c r="AF33" s="46">
        <v>112283</v>
      </c>
      <c r="AG33" s="46">
        <v>112284</v>
      </c>
      <c r="AH33" s="46">
        <v>112285</v>
      </c>
      <c r="AI33" s="46">
        <v>112286</v>
      </c>
      <c r="AJ33" s="46">
        <v>112288</v>
      </c>
      <c r="AK33" s="46">
        <v>112287</v>
      </c>
      <c r="AL33" s="46">
        <v>112289</v>
      </c>
      <c r="AM33" s="46">
        <v>112290</v>
      </c>
    </row>
    <row r="34" spans="1:39" ht="32.1" customHeight="1">
      <c r="A34" s="118"/>
      <c r="B34" s="96" t="str">
        <f>VLOOKUP("lfm",Sprachindex!A:Z,Info!$O$6,FALSE)</f>
        <v>lfm</v>
      </c>
      <c r="C34" s="95"/>
      <c r="D34" s="99">
        <v>562005</v>
      </c>
      <c r="E34" s="250" t="str">
        <f>VLOOKUP("Saumstreifen 1x158x1800mm ",Sprachindex!A:Z,Info!$O$6,FALSE)</f>
        <v xml:space="preserve">Saumstreifen 1x158x1800mm </v>
      </c>
      <c r="F34" s="251"/>
      <c r="G34" s="251"/>
      <c r="H34" s="251"/>
      <c r="I34" s="251"/>
      <c r="J34" s="251"/>
      <c r="K34" s="257"/>
      <c r="L34" s="96" t="str">
        <f>IF(A34=0,"",IF($N$11=1,P34,Q34))</f>
        <v/>
      </c>
      <c r="M34" s="97"/>
      <c r="O34" s="1"/>
      <c r="P34" s="191" t="str">
        <f>ROUNDUP($A34/1.8,0)*1.8 &amp; " " &amp; Formeln!$A$112 &amp; "                     " &amp; "(="&amp;ROUNDUP($A34/1.8,0)&amp; " " &amp; Formeln!$A$111 &amp; ")"</f>
        <v>0 lfm                     (=0 STK)</v>
      </c>
      <c r="Q34" s="191" t="str">
        <f>ROUNDUP($A34/1.8,0)*1.8 &amp; " " &amp; Formeln!$A$112 &amp; "                     " &amp; "(="&amp;ROUNDUP($A34/1.8,0) &amp;" " &amp; Formeln!$A$111 &amp; ")"</f>
        <v>0 lfm                     (=0 STK)</v>
      </c>
    </row>
    <row r="35" spans="1:39" ht="32.1" customHeight="1">
      <c r="A35" s="118"/>
      <c r="B35" s="96" t="str">
        <f>VLOOKUP("kg",Sprachindex!A:Z,Info!$O$6,FALSE)</f>
        <v>kg</v>
      </c>
      <c r="C35" s="95"/>
      <c r="D35" s="95">
        <f>IF(H35=Formeln!A2,340392,IF(H35=Formeln!A3,340394,IF(H35=Formeln!A4,341392,0)))</f>
        <v>0</v>
      </c>
      <c r="E35" s="250" t="str">
        <f>VLOOKUP("Rillennägel, verzinkt",Sprachindex!A:Z,Info!$O$6,FALSE)</f>
        <v>Rillennägel, verzinkt</v>
      </c>
      <c r="F35" s="251"/>
      <c r="G35" s="251"/>
      <c r="H35" s="252"/>
      <c r="I35" s="267"/>
      <c r="J35" s="267"/>
      <c r="K35" s="253"/>
      <c r="L35" s="96" t="str">
        <f>IF(A35=0,"",IF(H35=Formeln!$A$1,"",IF($N$11=1,P35,Q35)))</f>
        <v/>
      </c>
      <c r="M35" s="97"/>
      <c r="O35" s="1"/>
      <c r="P35" s="191" t="str">
        <f>IF(OR($H35=Formeln!$A$2,$H35=Formeln!$A$3),ROUNDUP($A35/2.5,0)*2.5&amp;" "&amp;Formeln!$A$114&amp;"                  "&amp;"(="&amp;ROUNDUP($A35/2.5,0)*2.5*$R35&amp;" "&amp;Formeln!$A$111&amp;")",ROUNDUP($A35/2,0)*2&amp;" "&amp;Formeln!$A$114&amp;"                  "&amp;"(="&amp;ROUNDUP($A35/2,0)*2*$R35&amp;" "&amp;Formeln!$A$111&amp;"")</f>
        <v>0 kg                  (=0 STK</v>
      </c>
      <c r="Q35" s="191" t="str">
        <f>ROUNDUP($A35,2) &amp; " " &amp; Formeln!$A$114 &amp; "                     " &amp; "(="&amp;ROUNDUP($A35/0.5,1)*0.5*$R35 &amp;" " &amp; Formeln!$A$111 &amp; ")"</f>
        <v>0 kg                     (=0 STK)</v>
      </c>
      <c r="R35" s="6">
        <f>IF(H35=Formeln!A2,570,IF(H35=Formeln!A3,480,IF(H35=Formeln!A4,380,0)))</f>
        <v>0</v>
      </c>
    </row>
    <row r="36" spans="1:39" ht="32.1" customHeight="1">
      <c r="A36" s="118"/>
      <c r="B36" s="96" t="str">
        <f>VLOOKUP("Karton",Sprachindex!A:Z,Info!$O$6,FALSE)</f>
        <v>Karton</v>
      </c>
      <c r="C36" s="95"/>
      <c r="D36" s="95">
        <f>IF(H36=Formeln!A6,341395,IF(H36=Formeln!A7,341396,IF(H36=Formeln!A8,341398,0)))</f>
        <v>0</v>
      </c>
      <c r="E36" s="250" t="str">
        <f>VLOOKUP("Rillennägel gebunden",Sprachindex!A:Z,Info!$O$6,FALSE)</f>
        <v>Rillennägel gebunden</v>
      </c>
      <c r="F36" s="251"/>
      <c r="G36" s="251"/>
      <c r="H36" s="252"/>
      <c r="I36" s="267"/>
      <c r="J36" s="267"/>
      <c r="K36" s="253"/>
      <c r="L36" s="183" t="str">
        <f>IF($A36=0,"",IF($H36=Formeln!$A$5,"",IF($N$11=1,P36,Q36)))</f>
        <v/>
      </c>
      <c r="M36" s="97"/>
      <c r="O36" s="1"/>
      <c r="P36" s="191" t="str">
        <f>ROUNDUP($A36/$R36,0)*$R36 &amp; " " &amp; Formeln!$A$111 &amp; "        " &amp; "(="&amp; ROUNDUP($A36/$R36,0) &amp;" " &amp; Formeln!$A$113 &amp; ")"</f>
        <v>0 STK        (=0 Karton)</v>
      </c>
      <c r="Q36" s="191" t="str">
        <f>$A36&amp;" "&amp;Formeln!$A$111&amp;"                     " &amp; "(="&amp;ROUNDUP($A36/$R36,2)&amp;" "&amp;Formeln!$A$113&amp;")"</f>
        <v xml:space="preserve"> STK                     (=0 Karton)</v>
      </c>
      <c r="R36" s="6">
        <f>IF(H36=Formeln!A7,2400,3200)</f>
        <v>3200</v>
      </c>
    </row>
    <row r="37" spans="1:39" ht="32.1" customHeight="1">
      <c r="A37" s="118"/>
      <c r="B37" s="96" t="str">
        <f>VLOOKUP("lfm",Sprachindex!A:Z,Info!$O$6,FALSE)</f>
        <v>lfm</v>
      </c>
      <c r="C37" s="95"/>
      <c r="D37" s="95">
        <f>IF($N$21=1,T37,IF($N$21=4,U37,IF($N$21=5,V37,IF($N$21=11,W37,IF($N$21=7,X37,IF($N$21=3,Y37,IF($N$21=6,Z37,IF($N$21=9,AA37,IF($N$21=2,AB37,IF($N$21=8,AC37,0))))))))))</f>
        <v>0</v>
      </c>
      <c r="E37" s="250" t="str">
        <f>VLOOKUP("Einlaufblech",Sprachindex!A:Z,Info!$O$6,FALSE)</f>
        <v>Einlaufblech</v>
      </c>
      <c r="F37" s="251"/>
      <c r="G37" s="251"/>
      <c r="H37" s="251"/>
      <c r="I37" s="251"/>
      <c r="J37" s="251"/>
      <c r="K37" s="257"/>
      <c r="L37" s="96" t="str">
        <f>IF(A37=0,"",IF($N$11=1,P37,Q37))</f>
        <v/>
      </c>
      <c r="M37" s="97"/>
      <c r="O37" s="1"/>
      <c r="P37" s="191" t="str">
        <f>ROUNDUP($A37/2,0)*2 &amp;" " &amp; Formeln!$A$112 &amp; "                " &amp; "(="&amp;ROUNDUP($A37/2,0) &amp; " " &amp;Formeln!$A$111 &amp; ")"</f>
        <v>0 lfm                (=0 STK)</v>
      </c>
      <c r="Q37" s="191" t="str">
        <f>ROUNDUP($A37/2,0)*2 &amp;" " &amp; Formeln!$A$112 &amp; "                " &amp; "(="&amp;ROUNDUP($A37/2,0) &amp; " " &amp;Formeln!$A$111 &amp; ")"</f>
        <v>0 lfm                (=0 STK)</v>
      </c>
      <c r="T37" s="46">
        <v>563004</v>
      </c>
      <c r="U37" s="46">
        <v>563006</v>
      </c>
      <c r="V37" s="46">
        <v>563001</v>
      </c>
      <c r="W37" s="46">
        <v>563005</v>
      </c>
      <c r="Y37" s="46">
        <v>563007</v>
      </c>
      <c r="Z37" s="46">
        <v>563016</v>
      </c>
      <c r="AA37" s="46">
        <v>563011</v>
      </c>
      <c r="AB37" s="46">
        <v>563017</v>
      </c>
      <c r="AC37" s="46"/>
    </row>
    <row r="38" spans="1:39" ht="32.1" customHeight="1">
      <c r="A38" s="118"/>
      <c r="B38" s="96" t="str">
        <f>VLOOKUP("lfm",Sprachindex!A:Z,Info!$O$6,FALSE)</f>
        <v>lfm</v>
      </c>
      <c r="C38" s="99"/>
      <c r="D38" s="99" t="str">
        <f>IF(H38=Formeln!A10,507400,IF(H38=Formeln!A11,507402,IF(H38=Formeln!A12,507411,IF(H38=Formeln!A13,"",0))))</f>
        <v/>
      </c>
      <c r="E38" s="250" t="str">
        <f>VLOOKUP("Lüftungsband",Sprachindex!A:Z,Info!$O$6,FALSE)</f>
        <v>Lüftungsband</v>
      </c>
      <c r="F38" s="251"/>
      <c r="G38" s="251"/>
      <c r="H38" s="252"/>
      <c r="I38" s="267"/>
      <c r="J38" s="267"/>
      <c r="K38" s="253"/>
      <c r="L38" s="96" t="str">
        <f>IF($H$38=Formeln!$AA$942,"",IF(A38="","",IF($N$11=1,P38,Q38)))</f>
        <v/>
      </c>
      <c r="M38" s="97"/>
      <c r="O38" s="1"/>
      <c r="P38" s="191" t="str">
        <f>ROUNDUP($A38/40,0)*40 &amp;" " &amp; Formeln!$A$112</f>
        <v>0 lfm</v>
      </c>
      <c r="Q38" s="191" t="str">
        <f>$A38 &amp;" " &amp; Formeln!$A$112</f>
        <v xml:space="preserve"> lfm</v>
      </c>
      <c r="T38" s="47" t="s">
        <v>25</v>
      </c>
      <c r="U38" s="13"/>
      <c r="V38" s="13"/>
      <c r="W38" s="13"/>
      <c r="X38" s="13"/>
      <c r="Y38" s="13"/>
      <c r="Z38" s="13"/>
      <c r="AA38" s="13"/>
      <c r="AB38" s="13"/>
      <c r="AC38" s="13"/>
      <c r="AD38" s="47" t="s">
        <v>26</v>
      </c>
      <c r="AE38" s="13"/>
      <c r="AF38" s="13"/>
      <c r="AG38" s="13"/>
      <c r="AH38" s="13"/>
      <c r="AI38" s="13"/>
      <c r="AJ38" s="13"/>
      <c r="AK38" s="13"/>
      <c r="AL38" s="13"/>
      <c r="AM38" s="48"/>
    </row>
    <row r="39" spans="1:39" ht="32.1" customHeight="1">
      <c r="A39" s="118"/>
      <c r="B39" s="96" t="str">
        <f>VLOOKUP("lfm",Sprachindex!A:Z,Info!$O$6,FALSE)</f>
        <v>lfm</v>
      </c>
      <c r="C39" s="95"/>
      <c r="D39" s="95">
        <v>507300</v>
      </c>
      <c r="E39" s="250" t="str">
        <f>VLOOKUP("Vogelschutzgitter, Lochbreite 5mm, 0,70x125x2000mm, braun/anthrazit",Sprachindex!A:Z,Info!$O$6,FALSE)</f>
        <v>Vogelschutzgitter, Lochbreite 5mm, 0,70x125x2000mm, braun/anthrazit</v>
      </c>
      <c r="F39" s="251"/>
      <c r="G39" s="251"/>
      <c r="H39" s="251"/>
      <c r="I39" s="251"/>
      <c r="J39" s="251"/>
      <c r="K39" s="257"/>
      <c r="L39" s="96" t="str">
        <f t="shared" ref="L39:L46" si="0">IF(A39=0,"",IF($N$11=1,P39,Q39))</f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lfm                (=0 STK)</v>
      </c>
      <c r="Q39" s="191" t="str">
        <f>ROUNDUP($A39/2,0)*2 &amp;" " &amp; Formeln!$A$112 &amp; "                " &amp; "(="&amp;ROUNDUP($A39/2,0) &amp; " " &amp;Formeln!$A$111 &amp; ")"</f>
        <v>0 lfm                (=0 STK)</v>
      </c>
      <c r="T39" s="49" t="s">
        <v>29</v>
      </c>
      <c r="U39" s="49" t="s">
        <v>30</v>
      </c>
      <c r="V39" s="49" t="s">
        <v>31</v>
      </c>
      <c r="W39" s="49" t="s">
        <v>32</v>
      </c>
      <c r="X39" s="49" t="s">
        <v>33</v>
      </c>
      <c r="Y39" s="49" t="s">
        <v>34</v>
      </c>
      <c r="Z39" s="49" t="s">
        <v>35</v>
      </c>
      <c r="AA39" s="49" t="s">
        <v>36</v>
      </c>
      <c r="AB39" s="49" t="s">
        <v>37</v>
      </c>
      <c r="AC39" s="49" t="s">
        <v>38</v>
      </c>
      <c r="AD39" s="49" t="s">
        <v>29</v>
      </c>
      <c r="AE39" s="49" t="s">
        <v>30</v>
      </c>
      <c r="AF39" s="49" t="s">
        <v>31</v>
      </c>
      <c r="AG39" s="49" t="s">
        <v>32</v>
      </c>
      <c r="AH39" s="49" t="s">
        <v>33</v>
      </c>
      <c r="AI39" s="49" t="s">
        <v>34</v>
      </c>
      <c r="AJ39" s="49" t="s">
        <v>35</v>
      </c>
      <c r="AK39" s="49" t="s">
        <v>36</v>
      </c>
      <c r="AL39" s="49" t="s">
        <v>37</v>
      </c>
      <c r="AM39" s="49" t="s">
        <v>38</v>
      </c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f t="shared" ref="D40:D46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0" t="str">
        <f>VLOOKUP("Ortgangstreifen, 0,70x95x2000mm",Sprachindex!A:Z,Info!$O$6,FALSE)</f>
        <v>Ortgangstreifen, 0,70x95x2000mm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lfm                (=0 STK)</v>
      </c>
      <c r="Q40" s="191" t="str">
        <f>ROUNDUP($A40/2,0)*2 &amp;" " &amp; Formeln!$A$112 &amp; "                " &amp; "(="&amp;ROUNDUP($A40/2,0) &amp; " " &amp;Formeln!$A$111 &amp; ")"</f>
        <v>0 lfm                (=0 STK)</v>
      </c>
      <c r="T40" s="46">
        <v>110500</v>
      </c>
      <c r="U40" s="46">
        <v>110501</v>
      </c>
      <c r="V40" s="46">
        <v>110502</v>
      </c>
      <c r="W40" s="46">
        <v>110503</v>
      </c>
      <c r="X40" s="46">
        <v>110504</v>
      </c>
      <c r="Y40" s="46">
        <v>110505</v>
      </c>
      <c r="Z40" s="46">
        <v>110506</v>
      </c>
      <c r="AA40" s="46">
        <v>110507</v>
      </c>
      <c r="AB40" s="46">
        <v>110508</v>
      </c>
      <c r="AC40" s="46"/>
      <c r="AD40" s="46">
        <v>110510</v>
      </c>
      <c r="AE40" s="46">
        <v>110511</v>
      </c>
      <c r="AF40" s="46">
        <v>110512</v>
      </c>
      <c r="AG40" s="46">
        <v>110513</v>
      </c>
      <c r="AH40" s="46">
        <v>110514</v>
      </c>
      <c r="AI40" s="46">
        <v>110515</v>
      </c>
      <c r="AJ40" s="46">
        <v>110516</v>
      </c>
      <c r="AK40" s="46">
        <v>110517</v>
      </c>
      <c r="AL40" s="46">
        <v>110518</v>
      </c>
      <c r="AM40" s="1">
        <v>110519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 t="shared" si="1"/>
        <v>0</v>
      </c>
      <c r="E41" s="250" t="str">
        <f>VLOOKUP("Sicherheitskehle 3m lang",Sprachindex!A:Z,Info!$O$6,FALSE)</f>
        <v>Sicherheitskehle 3m lang</v>
      </c>
      <c r="F41" s="251"/>
      <c r="G41" s="251"/>
      <c r="H41" s="251"/>
      <c r="I41" s="251"/>
      <c r="J41" s="251"/>
      <c r="K41" s="257"/>
      <c r="L41" s="96" t="str">
        <f>IF(A41=0,"",IF($N$11=1,P41,Q41))</f>
        <v/>
      </c>
      <c r="M41" s="97"/>
      <c r="O41" s="1"/>
      <c r="P41" s="191" t="str">
        <f>ROUNDUP($A41/3,0)*3 &amp;" " &amp; Formeln!$A$112 &amp; "                " &amp; "(="&amp;ROUNDUP($A41/3,0) &amp; " " &amp;Formeln!$A$111 &amp; ")"</f>
        <v>0 lfm                (=0 STK)</v>
      </c>
      <c r="Q41" s="191" t="str">
        <f>ROUNDUP($A41/3,0)*3 &amp;" " &amp; Formeln!$A$112 &amp; "                " &amp; "(="&amp;ROUNDUP($A41/3,0) &amp; " " &amp;Formeln!$A$111 &amp; ")"</f>
        <v>0 lfm                (=0 STK)</v>
      </c>
      <c r="T41" s="46">
        <v>110520</v>
      </c>
      <c r="U41" s="46">
        <v>110521</v>
      </c>
      <c r="V41" s="46">
        <v>110522</v>
      </c>
      <c r="W41" s="46">
        <v>110523</v>
      </c>
      <c r="X41" s="46">
        <v>110524</v>
      </c>
      <c r="Y41" s="46">
        <v>110525</v>
      </c>
      <c r="Z41" s="46">
        <v>110526</v>
      </c>
      <c r="AA41" s="46">
        <v>110527</v>
      </c>
      <c r="AB41" s="46">
        <v>110528</v>
      </c>
      <c r="AD41" s="46">
        <v>110530</v>
      </c>
      <c r="AE41" s="46">
        <v>110531</v>
      </c>
      <c r="AF41" s="46">
        <v>110532</v>
      </c>
      <c r="AG41" s="46">
        <v>110533</v>
      </c>
      <c r="AH41" s="46">
        <v>110534</v>
      </c>
      <c r="AI41" s="46">
        <v>110535</v>
      </c>
      <c r="AJ41" s="46">
        <v>110536</v>
      </c>
      <c r="AK41" s="46">
        <v>110537</v>
      </c>
      <c r="AL41" s="46">
        <v>110538</v>
      </c>
      <c r="AM41" s="1">
        <v>110539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si="1"/>
        <v>0</v>
      </c>
      <c r="E42" s="250" t="str">
        <f>VLOOKUP("Grat-Firstreiter inkl. Dichtschrauben ",Sprachindex!A:Z,Info!$O$6,FALSE)</f>
        <v xml:space="preserve">Grat-Firstreiter inkl. Dichtschrauben 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"/>
      <c r="P42" s="191" t="str">
        <f>ROUNDUP($A42/10,0)*10 &amp;" " &amp; Formeln!$A$112 &amp; "                     " &amp; "(="&amp;ROUNDUP($A42/10,0)*10/0.5 &amp; " " &amp; Formeln!$A$111 &amp; ")"</f>
        <v>0 lfm                     (=0 STK)</v>
      </c>
      <c r="Q42" s="191" t="str">
        <f>ROUNDUP($A42/0.5,0)*0.5 &amp;" " &amp; Formeln!$A$112 &amp; "                     " &amp; "(="&amp;ROUNDUP($A42/0.5,0)&amp; " " &amp; Formeln!$A$111 &amp; ")"</f>
        <v>0 lfm                     (=0 STK)</v>
      </c>
      <c r="T42" s="46">
        <v>110340</v>
      </c>
      <c r="U42" s="46">
        <v>110341</v>
      </c>
      <c r="V42" s="46">
        <v>110342</v>
      </c>
      <c r="W42" s="46">
        <v>110343</v>
      </c>
      <c r="X42" s="46">
        <v>110344</v>
      </c>
      <c r="Y42" s="46">
        <v>110345</v>
      </c>
      <c r="Z42" s="46">
        <v>110346</v>
      </c>
      <c r="AA42" s="46">
        <v>110347</v>
      </c>
      <c r="AB42" s="46">
        <v>110348</v>
      </c>
      <c r="AC42" s="46"/>
      <c r="AD42" s="46">
        <v>110350</v>
      </c>
      <c r="AE42" s="46">
        <v>110351</v>
      </c>
      <c r="AF42" s="46">
        <v>110352</v>
      </c>
      <c r="AG42" s="46">
        <v>110353</v>
      </c>
      <c r="AH42" s="46">
        <v>110354</v>
      </c>
      <c r="AI42" s="46">
        <v>110355</v>
      </c>
      <c r="AJ42" s="46">
        <v>110356</v>
      </c>
      <c r="AK42" s="46">
        <v>110357</v>
      </c>
      <c r="AL42" s="46">
        <v>110358</v>
      </c>
      <c r="AM42" s="1">
        <v>110359</v>
      </c>
    </row>
    <row r="43" spans="1:39" ht="32.1" customHeight="1">
      <c r="A43" s="118"/>
      <c r="B43" s="96" t="str">
        <f>VLOOKUP("Stk",Sprachindex!A:Z,Info!$O$6,FALSE)</f>
        <v>STK</v>
      </c>
      <c r="C43" s="95"/>
      <c r="D43" s="95">
        <f t="shared" si="1"/>
        <v>0</v>
      </c>
      <c r="E43" s="250" t="str">
        <f>VLOOKUP("Gratreitervorkopf",Sprachindex!A:Z,Info!$O$6,FALSE)</f>
        <v>Gratreitervorkopf</v>
      </c>
      <c r="F43" s="251"/>
      <c r="G43" s="251"/>
      <c r="H43" s="251"/>
      <c r="I43" s="251"/>
      <c r="J43" s="251"/>
      <c r="K43" s="257"/>
      <c r="L43" s="96" t="str">
        <f t="shared" si="0"/>
        <v/>
      </c>
      <c r="M43" s="97"/>
      <c r="O43" s="1"/>
      <c r="P43" s="191" t="str">
        <f>ROUNDUP($A43/10,0)*10 &amp;" " &amp; Formeln!$A$111</f>
        <v>0 STK</v>
      </c>
      <c r="Q43" s="191" t="str">
        <f>ROUNDUP($A43/1,0)*1 &amp;" " &amp; Formeln!$A$111</f>
        <v>0 STK</v>
      </c>
      <c r="T43" s="46">
        <v>110320</v>
      </c>
      <c r="U43" s="46">
        <v>110321</v>
      </c>
      <c r="V43" s="46">
        <v>110322</v>
      </c>
      <c r="W43" s="46">
        <v>110323</v>
      </c>
      <c r="X43" s="46">
        <v>110324</v>
      </c>
      <c r="Y43" s="46">
        <v>110325</v>
      </c>
      <c r="Z43" s="46">
        <v>110326</v>
      </c>
      <c r="AA43" s="46">
        <v>110327</v>
      </c>
      <c r="AB43" s="46">
        <v>110328</v>
      </c>
      <c r="AC43" s="46"/>
      <c r="AD43" s="46">
        <v>110330</v>
      </c>
      <c r="AE43" s="46">
        <v>110331</v>
      </c>
      <c r="AF43" s="46">
        <v>110332</v>
      </c>
      <c r="AG43" s="46">
        <v>110333</v>
      </c>
      <c r="AH43" s="46">
        <v>110334</v>
      </c>
      <c r="AI43" s="46">
        <v>110335</v>
      </c>
      <c r="AJ43" s="46">
        <v>110336</v>
      </c>
      <c r="AK43" s="46">
        <v>110337</v>
      </c>
      <c r="AL43" s="46">
        <v>110338</v>
      </c>
      <c r="AM43" s="46">
        <v>110339</v>
      </c>
    </row>
    <row r="44" spans="1:39" ht="32.1" customHeight="1">
      <c r="A44" s="118"/>
      <c r="B44" s="96" t="str">
        <f>VLOOKUP("lfm",Sprachindex!A:Z,Info!$O$6,FALSE)</f>
        <v>lfm</v>
      </c>
      <c r="C44" s="95"/>
      <c r="D44" s="95">
        <f t="shared" si="1"/>
        <v>0</v>
      </c>
      <c r="E44" s="250" t="str">
        <f>VLOOKUP("Jet-Lüfter 1.2m lang",Sprachindex!A:Z,Info!$O$6,FALSE)</f>
        <v>Jet-Lüfter 1.2m lang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"/>
      <c r="P44" s="191" t="str">
        <f>ROUNDUP($A44/1.2,0)*1.2 &amp;" " &amp; Formeln!$A$112 &amp; "                " &amp; "(="&amp;ROUNDUP($A44/1.2,0) &amp; " " &amp;Formeln!$A$111 &amp; ")"</f>
        <v>0 lfm                (=0 STK)</v>
      </c>
      <c r="Q44" s="191" t="str">
        <f>ROUNDUP($A44/1.2,0)*1.2 &amp;" " &amp; Formeln!$A$112 &amp; "                " &amp; "(="&amp;ROUNDUP($A44/1.2,0) &amp; " " &amp;Formeln!$A$111 &amp; ")"</f>
        <v>0 lfm                (=0 STK)</v>
      </c>
      <c r="T44" s="46">
        <v>110640</v>
      </c>
      <c r="U44" s="46">
        <v>110641</v>
      </c>
      <c r="V44" s="46">
        <v>110642</v>
      </c>
      <c r="W44" s="46">
        <v>110643</v>
      </c>
      <c r="X44" s="46">
        <v>110644</v>
      </c>
      <c r="Y44" s="46">
        <v>110645</v>
      </c>
      <c r="Z44" s="46">
        <v>110646</v>
      </c>
      <c r="AA44" s="46">
        <v>110647</v>
      </c>
      <c r="AB44" s="46">
        <v>110648</v>
      </c>
      <c r="AC44" s="46"/>
      <c r="AD44" s="46">
        <v>110650</v>
      </c>
      <c r="AE44" s="46">
        <v>110651</v>
      </c>
      <c r="AF44" s="46">
        <v>110652</v>
      </c>
      <c r="AG44" s="46">
        <v>110653</v>
      </c>
      <c r="AH44" s="46">
        <v>110654</v>
      </c>
      <c r="AI44" s="46">
        <v>110655</v>
      </c>
      <c r="AJ44" s="46">
        <v>110656</v>
      </c>
      <c r="AK44" s="46">
        <v>110657</v>
      </c>
      <c r="AL44" s="46">
        <v>110658</v>
      </c>
      <c r="AM44" s="46">
        <v>110659</v>
      </c>
    </row>
    <row r="45" spans="1:39" ht="32.1" customHeight="1">
      <c r="A45" s="118"/>
      <c r="B45" s="96" t="str">
        <f>VLOOKUP("lfm",Sprachindex!A:Z,Info!$O$6,FALSE)</f>
        <v>lfm</v>
      </c>
      <c r="C45" s="95"/>
      <c r="D45" s="95">
        <f t="shared" si="1"/>
        <v>0</v>
      </c>
      <c r="E45" s="250" t="str">
        <f>VLOOKUP("Jet-Lüfter",Sprachindex!A:Z,Info!$O$6,FALSE)</f>
        <v>Jet-Lüfter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"/>
      <c r="P45" s="191" t="str">
        <f>ROUNDUP($A45/9,0)*9 &amp;" " &amp; Formeln!$A$112 &amp; "                " &amp; "(="&amp;ROUNDUP($A45/9,0)*3 &amp; " " &amp;Formeln!$A$111 &amp; ")"</f>
        <v>0 lfm                (=0 STK)</v>
      </c>
      <c r="Q45" s="191" t="str">
        <f>ROUNDUP($A45/3,0)*3 &amp;" " &amp; Formeln!$A$112 &amp; "                " &amp; "(="&amp;ROUNDUP($A45/3,0) &amp; " " &amp;Formeln!$A$111 &amp; ")"</f>
        <v>0 lfm                (=0 STK)</v>
      </c>
      <c r="T45" s="46">
        <v>110620</v>
      </c>
      <c r="U45" s="46">
        <v>110621</v>
      </c>
      <c r="V45" s="46">
        <v>110622</v>
      </c>
      <c r="W45" s="46">
        <v>110623</v>
      </c>
      <c r="X45" s="46">
        <v>110624</v>
      </c>
      <c r="Y45" s="46">
        <v>110625</v>
      </c>
      <c r="Z45" s="46">
        <v>110626</v>
      </c>
      <c r="AA45" s="46">
        <v>110627</v>
      </c>
      <c r="AB45" s="46">
        <v>110628</v>
      </c>
      <c r="AC45" s="46"/>
      <c r="AD45" s="46">
        <v>110630</v>
      </c>
      <c r="AE45" s="46">
        <v>110631</v>
      </c>
      <c r="AF45" s="46">
        <v>110632</v>
      </c>
      <c r="AG45" s="46">
        <v>110633</v>
      </c>
      <c r="AH45" s="46">
        <v>110634</v>
      </c>
      <c r="AI45" s="46">
        <v>110635</v>
      </c>
      <c r="AJ45" s="46">
        <v>110636</v>
      </c>
      <c r="AK45" s="46">
        <v>110637</v>
      </c>
      <c r="AL45" s="46">
        <v>110638</v>
      </c>
      <c r="AM45" s="46">
        <v>110639</v>
      </c>
    </row>
    <row r="46" spans="1:39" ht="32.1" customHeight="1">
      <c r="A46" s="118"/>
      <c r="B46" s="96" t="str">
        <f>VLOOKUP("Stk",Sprachindex!A:Z,Info!$O$6,FALSE)</f>
        <v>STK</v>
      </c>
      <c r="C46" s="95"/>
      <c r="D46" s="95">
        <f t="shared" si="1"/>
        <v>0</v>
      </c>
      <c r="E46" s="250" t="str">
        <f>VLOOKUP("Jet-Lüfter-Vorkopf",Sprachindex!A:Z,Info!$O$6,FALSE)</f>
        <v>Jet-Lüfter-Vorkopf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"/>
      <c r="P46" s="191" t="str">
        <f>ROUNDUP($A46/2,0)*2 &amp;" " &amp; Formeln!$A$111</f>
        <v>0 STK</v>
      </c>
      <c r="Q46" s="191" t="str">
        <f>ROUNDUP($A46/1,0)*1 &amp;" " &amp; Formeln!$A$111</f>
        <v>0 STK</v>
      </c>
      <c r="T46" s="46">
        <v>110600</v>
      </c>
      <c r="U46" s="46">
        <v>110601</v>
      </c>
      <c r="V46" s="46">
        <v>110602</v>
      </c>
      <c r="W46" s="46">
        <v>110603</v>
      </c>
      <c r="X46" s="46">
        <v>110604</v>
      </c>
      <c r="Y46" s="46">
        <v>110605</v>
      </c>
      <c r="Z46" s="46">
        <v>110606</v>
      </c>
      <c r="AA46" s="46">
        <v>110607</v>
      </c>
      <c r="AB46" s="46">
        <v>110608</v>
      </c>
      <c r="AC46" s="46"/>
      <c r="AD46" s="46">
        <v>110610</v>
      </c>
      <c r="AE46" s="46">
        <v>110611</v>
      </c>
      <c r="AF46" s="46">
        <v>110612</v>
      </c>
      <c r="AG46" s="46">
        <v>110613</v>
      </c>
      <c r="AH46" s="46">
        <v>110614</v>
      </c>
      <c r="AI46" s="46">
        <v>110615</v>
      </c>
      <c r="AJ46" s="46">
        <v>110616</v>
      </c>
      <c r="AK46" s="46">
        <v>110617</v>
      </c>
      <c r="AL46" s="46">
        <v>110618</v>
      </c>
      <c r="AM46" s="46">
        <v>110619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>IF($N$21=1,T47,IF($N$21=4,U47,IF($N$21=5,V47,IF($N$21=11,W47,IF($N$21=7,X47,IF($N$21=3,Y47,IF($N$21=6,Z47,IF($N$21=9,AA47,IF($N$21=2,AB47,IF($N$21=8,AC47,0))))))))))</f>
        <v>0</v>
      </c>
      <c r="E47" s="250" t="str">
        <f>VLOOKUP("Dichtschraube NIRO, 4,5x25",Sprachindex!A:Z,Info!$O$6,FALSE)</f>
        <v>Dichtschraube NIRO, 4,5x25</v>
      </c>
      <c r="F47" s="251"/>
      <c r="G47" s="251"/>
      <c r="H47" s="251"/>
      <c r="I47" s="251"/>
      <c r="J47" s="251"/>
      <c r="K47" s="257"/>
      <c r="L47" s="96" t="str">
        <f>IF(A47=0,"",IF($N$11=1,P47,Q47))</f>
        <v/>
      </c>
      <c r="M47" s="97"/>
      <c r="O47" s="1"/>
      <c r="P47" s="191" t="str">
        <f>ROUNDUP($A47/200,0)*200 &amp;" " &amp; Formeln!$A$111</f>
        <v>0 STK</v>
      </c>
      <c r="Q47" s="191" t="str">
        <f>ROUNDUP($A47,0) &amp;" " &amp; Formeln!$A$111</f>
        <v>0 STK</v>
      </c>
      <c r="T47" s="46">
        <v>340041</v>
      </c>
      <c r="U47" s="46">
        <v>340042</v>
      </c>
      <c r="V47" s="46">
        <v>340043</v>
      </c>
      <c r="W47" s="46">
        <v>340044</v>
      </c>
      <c r="X47" s="179"/>
      <c r="Y47" s="46">
        <v>340045</v>
      </c>
      <c r="Z47" s="46">
        <v>340046</v>
      </c>
      <c r="AA47" s="46">
        <v>340047</v>
      </c>
      <c r="AB47" s="46">
        <v>340048</v>
      </c>
      <c r="AC47" s="46">
        <v>340049</v>
      </c>
      <c r="AD47" s="1" t="s">
        <v>48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IF(H48=Formeln!A14,IF($N$21=1,T48,IF($N$21=4,U48,IF($N$21=5,V48,IF($N$21=11,W48,IF($N$21=7,X48,IF($N$21=3,Y48,IF($N$21=6,Z48,IF($N$21=9,AA48,IF($N$21=2,AB48,IF($N$21=8,AC48,0)))))))))),IF(H48=Formeln!A15,AD48,0))</f>
        <v>0</v>
      </c>
      <c r="E48" s="250" t="str">
        <f>VLOOKUP("Dichtschraube NIRO",Sprachindex!A:Z,Info!$O$6,FALSE)</f>
        <v>Dichtschraube NIRO</v>
      </c>
      <c r="F48" s="251"/>
      <c r="G48" s="251"/>
      <c r="H48" s="252"/>
      <c r="I48" s="267"/>
      <c r="J48" s="267"/>
      <c r="K48" s="253"/>
      <c r="L48" s="96" t="str">
        <f>IF(A48=0,"",IF(H48=Formeln!$A$14," ",IF($N$11=1,P48,Q48)))</f>
        <v/>
      </c>
      <c r="M48" s="97"/>
      <c r="O48" s="1"/>
      <c r="P48" s="191" t="str">
        <f>ROUNDUP($A48/250,0)*250 &amp;" " &amp; Formeln!$A$111</f>
        <v>0 STK</v>
      </c>
      <c r="Q48" s="191" t="str">
        <f>ROUNDUP($A48,0) &amp;" " &amp; Formeln!$A$111</f>
        <v>0 STK</v>
      </c>
      <c r="T48" s="46">
        <v>340001</v>
      </c>
      <c r="U48" s="46">
        <v>340004</v>
      </c>
      <c r="V48" s="46">
        <v>340003</v>
      </c>
      <c r="W48" s="46">
        <v>340104</v>
      </c>
      <c r="Y48" s="46">
        <v>340002</v>
      </c>
      <c r="Z48" s="46">
        <v>340016</v>
      </c>
      <c r="AA48" s="46">
        <v>340011</v>
      </c>
      <c r="AB48" s="46">
        <v>340014</v>
      </c>
      <c r="AC48" s="46">
        <v>340013</v>
      </c>
      <c r="AD48" s="1">
        <v>340103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IF(H49=Formeln!A17,IF($N$21=1,T49,IF($N$21=4,U49,IF($N$21=5,V49,IF($N$21=11,W49,IF($N$21=7,X49,IF($N$21=3,Y49,IF($N$21=6,Z49,IF($N$21=9,AA49,IF($N$21=2,AB49,IF($N$21=8,AC49,0)))))))))),IF(H49=Formeln!A18,AD49,0))</f>
        <v>0</v>
      </c>
      <c r="E49" s="250" t="str">
        <f>VLOOKUP("Dichtschraube NIRO",Sprachindex!A:Z,Info!$O$6,FALSE)</f>
        <v>Dichtschraube NIRO</v>
      </c>
      <c r="F49" s="251"/>
      <c r="G49" s="251"/>
      <c r="H49" s="252"/>
      <c r="I49" s="267"/>
      <c r="J49" s="267"/>
      <c r="K49" s="253"/>
      <c r="L49" s="96" t="str">
        <f>IF(A49=0,"",IF(H49=Formeln!$A$14," ",IF($N$11=1,P49,Q49)))</f>
        <v/>
      </c>
      <c r="M49" s="97"/>
      <c r="O49" s="1"/>
      <c r="P49" s="191" t="str">
        <f>ROUNDUP($A49/100,0)*100 &amp;" " &amp; Formeln!$A$111</f>
        <v>0 STK</v>
      </c>
      <c r="Q49" s="191" t="str">
        <f>ROUNDUP($A49,0) &amp;" " &amp; Formeln!$A$111</f>
        <v>0 STK</v>
      </c>
      <c r="T49" s="46">
        <v>340020</v>
      </c>
      <c r="U49" s="46">
        <v>340024</v>
      </c>
      <c r="V49" s="46">
        <v>340022</v>
      </c>
      <c r="W49" s="46">
        <v>340021</v>
      </c>
      <c r="Y49" s="46">
        <v>340025</v>
      </c>
      <c r="Z49" s="46">
        <v>340032</v>
      </c>
      <c r="AA49" s="46">
        <v>340027</v>
      </c>
      <c r="AB49" s="46">
        <v>340030</v>
      </c>
      <c r="AC49" s="46">
        <v>340036</v>
      </c>
      <c r="AD49" s="1">
        <v>340106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f>IF($N$21=1,T50,IF($N$21=4,U50,IF($N$21=5,V50,IF($N$21=11,W50,IF($N$21=7,X50,IF($N$21=3,Y50,IF($N$21=6,Z50,IF($N$21=9,AA50,IF($N$21=2,AB50,IF($N$21=8,AC50,0))))))))))</f>
        <v>0</v>
      </c>
      <c r="E50" s="250" t="str">
        <f>VLOOKUP("Froschmaullukenhaube",Sprachindex!A:Z,Info!$O$6,FALSE)</f>
        <v>Froschmaullukenhaube</v>
      </c>
      <c r="F50" s="251"/>
      <c r="G50" s="251"/>
      <c r="H50" s="251"/>
      <c r="I50" s="251"/>
      <c r="J50" s="251"/>
      <c r="K50" s="257"/>
      <c r="L50" s="96" t="str">
        <f>IF(A50=0,"",IF($N$11=1,P50,Q50))</f>
        <v/>
      </c>
      <c r="M50" s="97"/>
      <c r="O50" s="1"/>
      <c r="P50" s="191" t="str">
        <f>ROUNDUP($A50/20,0)*20 &amp;" " &amp; Formeln!$A$111</f>
        <v>0 STK</v>
      </c>
      <c r="Q50" s="191" t="str">
        <f>ROUNDUP($A50,0) &amp;" " &amp; Formeln!$A$111</f>
        <v>0 STK</v>
      </c>
      <c r="T50" s="46">
        <v>110100</v>
      </c>
      <c r="U50" s="46">
        <v>110101</v>
      </c>
      <c r="V50" s="46">
        <v>110102</v>
      </c>
      <c r="W50" s="46">
        <v>110103</v>
      </c>
      <c r="X50" s="46">
        <v>110104</v>
      </c>
      <c r="Y50" s="46">
        <v>110105</v>
      </c>
      <c r="Z50" s="46">
        <v>110106</v>
      </c>
      <c r="AA50" s="46">
        <v>110107</v>
      </c>
      <c r="AB50" s="46">
        <v>110108</v>
      </c>
      <c r="AC50" s="46">
        <v>121005</v>
      </c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v>545106</v>
      </c>
      <c r="E51" s="261" t="str">
        <f>VLOOKUP("Einfassung Vario, 120-600 mm, stucco",Sprachindex!A:Z,Info!$O$6,FALSE)</f>
        <v>Einfassung Vario, 120-600 mm, stucco</v>
      </c>
      <c r="F51" s="262"/>
      <c r="G51" s="262"/>
      <c r="H51" s="262"/>
      <c r="I51" s="262"/>
      <c r="J51" s="262"/>
      <c r="K51" s="263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v>545106</v>
      </c>
      <c r="E52" s="261" t="str">
        <f>VLOOKUP("Einfassung Vario, 600-1.020 mm, stucco",Sprachindex!A:Z,Info!$O$6,FALSE)</f>
        <v>Einfassung Vario, 600-1.020 mm, stucco</v>
      </c>
      <c r="F52" s="262"/>
      <c r="G52" s="262"/>
      <c r="H52" s="262"/>
      <c r="I52" s="262"/>
      <c r="J52" s="262"/>
      <c r="K52" s="263"/>
      <c r="L52" s="96" t="str">
        <f>IF($A52=0,"",IF($J52=Formeln!$A$27," ",IF($N$11=1,P52,Q52)))</f>
        <v/>
      </c>
      <c r="M52" s="97"/>
      <c r="O52" s="1"/>
      <c r="P52" s="191"/>
      <c r="Q52" s="191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E53" s="261" t="str">
        <f>VLOOKUP("Dachausstiegsluke, 600x600mm",Sprachindex!A:Z,Info!$O$6,FALSE)</f>
        <v>Dachausstiegsluke, 600x600mm</v>
      </c>
      <c r="F53" s="262"/>
      <c r="G53" s="262"/>
      <c r="H53" s="262"/>
      <c r="I53" s="262"/>
      <c r="J53" s="262"/>
      <c r="K53" s="263"/>
      <c r="L53" s="96" t="str">
        <f>IF(A53=0,"",IF($N$11=1,P53,Q53))</f>
        <v/>
      </c>
      <c r="M53" s="97"/>
      <c r="O53" s="1"/>
      <c r="P53" s="191" t="str">
        <f>ROUNDUP($A53/15,0)*15 &amp;" " &amp; Formeln!$A$111</f>
        <v>0 STK</v>
      </c>
      <c r="Q53" s="191" t="str">
        <f>ROUNDUP($A53,0) &amp;" " &amp; Formeln!$A$111</f>
        <v>0 STK</v>
      </c>
      <c r="T53" s="46">
        <v>110020</v>
      </c>
      <c r="U53" s="46">
        <v>110021</v>
      </c>
      <c r="V53" s="46">
        <v>110022</v>
      </c>
      <c r="W53" s="46">
        <v>110023</v>
      </c>
      <c r="X53" s="46">
        <v>110024</v>
      </c>
      <c r="Y53" s="46">
        <v>110025</v>
      </c>
      <c r="Z53" s="46">
        <v>110026</v>
      </c>
      <c r="AA53" s="46">
        <v>110027</v>
      </c>
      <c r="AB53" s="46">
        <v>110028</v>
      </c>
      <c r="AC53" s="46"/>
      <c r="AD53" s="46">
        <v>110030</v>
      </c>
      <c r="AE53" s="46">
        <v>110031</v>
      </c>
      <c r="AF53" s="46">
        <v>110032</v>
      </c>
      <c r="AG53" s="46">
        <v>110033</v>
      </c>
      <c r="AH53" s="46">
        <v>110034</v>
      </c>
      <c r="AI53" s="46">
        <v>110035</v>
      </c>
      <c r="AJ53" s="46">
        <v>110036</v>
      </c>
      <c r="AK53" s="46">
        <v>110037</v>
      </c>
      <c r="AL53" s="46">
        <v>110038</v>
      </c>
      <c r="AM53" s="46">
        <v>110039</v>
      </c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f>IF(J54=Formeln!$A$28,AN54,IF(J54=Formeln!$A$29,BI54,IF(J54=Formeln!$A$30,CD54,IF(J54=Formeln!$A$31,CY54,IF(J54=Formeln!$A$32,DT54,IF(J54=Formeln!$A$33,EO54,IF(J54=Formeln!$A$34,FJ54,IF(J54=Formeln!$A$35,GE54,IF(J54=Formeln!$A$36,GZ54,IF(J54=Formeln!$A$37,HU54,IF(J54=Formeln!$A$38,IP54,IF(J54=Formeln!$A$39,JK54,IF(J54=Formeln!$A$40,KF54,IF(J54=Formeln!$A$41,LA54,IF(J54=Formeln!$A$42,LV54,IF(J54=Formeln!$A$43,MQ54,IF(J54=Formeln!$A$44,NL54,IF(J54=Formeln!$A$45,OG54,IF(J54=Formeln!$A$46,PB54,IF(J54=Formeln!$A$47,PW54,IF(J54=Formeln!$A$48,QR54,0)))))))))))))))))))))</f>
        <v>0</v>
      </c>
      <c r="E54" s="250" t="str">
        <f>VLOOKUP("VELUX Einfassung",Sprachindex!A:Z,Info!$O$6,FALSE)</f>
        <v>VELUX Einfassung</v>
      </c>
      <c r="F54" s="251"/>
      <c r="G54" s="251"/>
      <c r="H54" s="251"/>
      <c r="I54" s="101" t="str">
        <f>VLOOKUP("Maße:",Sprachindex!A:Z,Info!$O$6,FALSE)</f>
        <v>Maße:</v>
      </c>
      <c r="J54" s="252"/>
      <c r="K54" s="267"/>
      <c r="L54" s="96" t="str">
        <f>IF($A54=0,"",IF($J54=Formeln!$A$27," ",IF($N$11=1,P54,Q54)))</f>
        <v/>
      </c>
      <c r="M54" s="97"/>
      <c r="O54" s="1"/>
      <c r="P54" s="191" t="str">
        <f>ROUNDUP($A54,0) &amp;" " &amp; Formeln!$A$111</f>
        <v>0 STK</v>
      </c>
      <c r="Q54" s="191" t="str">
        <f>ROUNDUP($A54,0) &amp;" " &amp; Formeln!$A$111</f>
        <v>0 STK</v>
      </c>
      <c r="T54" s="46"/>
      <c r="U54" s="50"/>
      <c r="V54" s="50"/>
      <c r="W54" s="50"/>
      <c r="X54" s="50"/>
      <c r="Y54" s="50"/>
      <c r="Z54" s="50"/>
      <c r="AA54" s="50"/>
      <c r="AB54" s="50"/>
      <c r="AD54" s="50">
        <v>111100</v>
      </c>
      <c r="AE54" s="50">
        <v>111101</v>
      </c>
      <c r="AF54" s="50">
        <v>111102</v>
      </c>
      <c r="AG54" s="50">
        <v>111103</v>
      </c>
      <c r="AH54" s="50">
        <v>111104</v>
      </c>
      <c r="AI54" s="50">
        <v>111105</v>
      </c>
      <c r="AJ54" s="50">
        <v>111106</v>
      </c>
      <c r="AK54" s="50">
        <v>111107</v>
      </c>
      <c r="AL54" s="50">
        <v>111108</v>
      </c>
      <c r="AM54" s="229">
        <v>111109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51"/>
      <c r="AP54" s="50"/>
      <c r="AQ54" s="50"/>
      <c r="AR54" s="50"/>
      <c r="AS54" s="50"/>
      <c r="AT54" s="50"/>
      <c r="AU54" s="50"/>
      <c r="AV54" s="50"/>
      <c r="AW54" s="50"/>
      <c r="AY54" s="50">
        <v>111100</v>
      </c>
      <c r="AZ54" s="50">
        <v>111101</v>
      </c>
      <c r="BA54" s="50">
        <v>111102</v>
      </c>
      <c r="BB54" s="50">
        <v>111103</v>
      </c>
      <c r="BC54" s="50">
        <v>111104</v>
      </c>
      <c r="BD54" s="50">
        <v>111105</v>
      </c>
      <c r="BE54" s="50">
        <v>111106</v>
      </c>
      <c r="BF54" s="50">
        <v>111107</v>
      </c>
      <c r="BG54" s="50">
        <v>111108</v>
      </c>
      <c r="BH54" s="229">
        <v>111109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51"/>
      <c r="BK54" s="50"/>
      <c r="BL54" s="50"/>
      <c r="BM54" s="50"/>
      <c r="BN54" s="50"/>
      <c r="BO54" s="50"/>
      <c r="BP54" s="50"/>
      <c r="BQ54" s="50"/>
      <c r="BR54" s="50"/>
      <c r="BT54" s="50">
        <v>111100</v>
      </c>
      <c r="BU54" s="50">
        <v>111101</v>
      </c>
      <c r="BV54" s="50">
        <v>111102</v>
      </c>
      <c r="BW54" s="50">
        <v>111103</v>
      </c>
      <c r="BX54" s="50">
        <v>111104</v>
      </c>
      <c r="BY54" s="50">
        <v>111105</v>
      </c>
      <c r="BZ54" s="50">
        <v>111106</v>
      </c>
      <c r="CA54" s="50">
        <v>111107</v>
      </c>
      <c r="CB54" s="50">
        <v>111108</v>
      </c>
      <c r="CC54" s="229">
        <v>111109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51"/>
      <c r="CF54" s="46"/>
      <c r="CG54" s="46"/>
      <c r="CH54" s="46"/>
      <c r="CI54" s="46"/>
      <c r="CJ54" s="46"/>
      <c r="CK54" s="46"/>
      <c r="CL54" s="46"/>
      <c r="CM54" s="46"/>
      <c r="CO54" s="46">
        <v>111120</v>
      </c>
      <c r="CP54" s="46">
        <v>111121</v>
      </c>
      <c r="CQ54" s="46">
        <v>111122</v>
      </c>
      <c r="CR54" s="46">
        <v>111123</v>
      </c>
      <c r="CS54" s="46">
        <v>111124</v>
      </c>
      <c r="CT54" s="46">
        <v>111125</v>
      </c>
      <c r="CU54" s="46">
        <v>111126</v>
      </c>
      <c r="CV54" s="46">
        <v>111127</v>
      </c>
      <c r="CW54" s="46">
        <v>111128</v>
      </c>
      <c r="CX54" s="229">
        <v>111129</v>
      </c>
      <c r="CY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CZ54" s="51"/>
      <c r="DA54" s="46"/>
      <c r="DB54" s="46"/>
      <c r="DC54" s="46"/>
      <c r="DD54" s="46"/>
      <c r="DE54" s="46"/>
      <c r="DF54" s="46"/>
      <c r="DG54" s="46"/>
      <c r="DH54" s="46"/>
      <c r="DJ54" s="46">
        <v>111120</v>
      </c>
      <c r="DK54" s="46">
        <v>111121</v>
      </c>
      <c r="DL54" s="46">
        <v>111122</v>
      </c>
      <c r="DM54" s="46">
        <v>111123</v>
      </c>
      <c r="DN54" s="46">
        <v>111124</v>
      </c>
      <c r="DO54" s="46">
        <v>111125</v>
      </c>
      <c r="DP54" s="46">
        <v>111126</v>
      </c>
      <c r="DQ54" s="46">
        <v>111127</v>
      </c>
      <c r="DR54" s="46">
        <v>111128</v>
      </c>
      <c r="DS54" s="229">
        <v>111129</v>
      </c>
      <c r="DT54" s="52">
        <f>IF(AND($N$9=2,$N$21=1),CZ54,IF(AND($N$9=2,$N$21=4),DA54,IF(AND($N$9=2,$N$21=5),DB54,IF(AND($N$9=2,$N$21=11),DC54,IF(AND($N$9=2,$N$21=7),DD54,IF(AND($N$9=2,$N$21=3),DE54,IF(AND($N$9=2,$N$21=6),DF54,IF(AND($N$9=2,$N$21=9),DG54,IF(AND($N$9=2,$N$21=2),DH54,IF(AND($N$9=2,$N$21=8),DI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51"/>
      <c r="DV54" s="46"/>
      <c r="DW54" s="46"/>
      <c r="DX54" s="46"/>
      <c r="DY54" s="46"/>
      <c r="DZ54" s="46"/>
      <c r="EA54" s="46"/>
      <c r="EB54" s="46"/>
      <c r="EC54" s="46"/>
      <c r="EE54" s="46">
        <v>111120</v>
      </c>
      <c r="EF54" s="46">
        <v>111121</v>
      </c>
      <c r="EG54" s="46">
        <v>111122</v>
      </c>
      <c r="EH54" s="46">
        <v>111123</v>
      </c>
      <c r="EI54" s="46">
        <v>111124</v>
      </c>
      <c r="EJ54" s="46">
        <v>111125</v>
      </c>
      <c r="EK54" s="46">
        <v>111126</v>
      </c>
      <c r="EL54" s="46">
        <v>111127</v>
      </c>
      <c r="EM54" s="46">
        <v>111128</v>
      </c>
      <c r="EN54" s="229">
        <v>111129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51">
        <v>111170</v>
      </c>
      <c r="EQ54" s="46"/>
      <c r="ER54" s="46"/>
      <c r="ES54" s="46"/>
      <c r="ET54" s="46"/>
      <c r="EU54" s="46"/>
      <c r="EV54" s="46"/>
      <c r="EW54" s="46"/>
      <c r="EX54" s="46"/>
      <c r="EZ54" s="46">
        <v>111160</v>
      </c>
      <c r="FA54" s="46">
        <v>111161</v>
      </c>
      <c r="FB54" s="46">
        <v>111162</v>
      </c>
      <c r="FC54" s="46">
        <v>111163</v>
      </c>
      <c r="FD54" s="46">
        <v>111164</v>
      </c>
      <c r="FE54" s="46">
        <v>111165</v>
      </c>
      <c r="FF54" s="46">
        <v>111166</v>
      </c>
      <c r="FG54" s="46">
        <v>111167</v>
      </c>
      <c r="FH54" s="46">
        <v>111168</v>
      </c>
      <c r="FI54" s="229">
        <v>111169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51"/>
      <c r="FL54" s="46"/>
      <c r="FM54" s="46"/>
      <c r="FN54" s="46"/>
      <c r="FO54" s="46"/>
      <c r="FP54" s="46"/>
      <c r="FQ54" s="46"/>
      <c r="FR54" s="46"/>
      <c r="FS54" s="46"/>
      <c r="FU54" s="46">
        <v>111160</v>
      </c>
      <c r="FV54" s="46">
        <v>111161</v>
      </c>
      <c r="FW54" s="46">
        <v>111162</v>
      </c>
      <c r="FX54" s="46">
        <v>111163</v>
      </c>
      <c r="FY54" s="46">
        <v>111164</v>
      </c>
      <c r="FZ54" s="46">
        <v>111165</v>
      </c>
      <c r="GA54" s="46">
        <v>111166</v>
      </c>
      <c r="GB54" s="46">
        <v>111167</v>
      </c>
      <c r="GC54" s="46">
        <v>111168</v>
      </c>
      <c r="GD54" s="229">
        <v>111169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F54" s="51"/>
      <c r="GG54" s="46"/>
      <c r="GH54" s="46"/>
      <c r="GI54" s="46"/>
      <c r="GJ54" s="46"/>
      <c r="GK54" s="46"/>
      <c r="GL54" s="46"/>
      <c r="GM54" s="46"/>
      <c r="GN54" s="46"/>
      <c r="GP54" s="46">
        <v>111160</v>
      </c>
      <c r="GQ54" s="46">
        <v>111161</v>
      </c>
      <c r="GR54" s="46">
        <v>111162</v>
      </c>
      <c r="GS54" s="46">
        <v>111163</v>
      </c>
      <c r="GT54" s="46">
        <v>111164</v>
      </c>
      <c r="GU54" s="46">
        <v>111165</v>
      </c>
      <c r="GV54" s="46">
        <v>111166</v>
      </c>
      <c r="GW54" s="46">
        <v>111167</v>
      </c>
      <c r="GX54" s="46">
        <v>111168</v>
      </c>
      <c r="GY54" s="230">
        <v>111169</v>
      </c>
      <c r="GZ54" s="52">
        <f>IF(AND($N$9=2,$N$21=1),GF54,IF(AND($N$9=2,$N$21=4),GG54,IF(AND($N$9=2,$N$21=5),GH54,IF(AND($N$9=2,$N$21=11),GI54,IF(AND($N$9=2,$N$21=7),GJ54,IF(AND($N$9=2,$N$21=3),GK54,IF(AND($N$9=2,$N$21=6),GL54,IF(AND($N$9=2,$N$21=9),GM54,IF(AND($N$9=2,$N$21=2),GN54,IF(AND($N$9=2,$N$21=8),GO54,IF(AND($N$9=1,$N$21=1),GP54,IF(AND($N$9=1,$N$21=1),GP54,IF(AND($N$9=1,$N$21=4),GQ54,IF(AND($N$9=1,$N$21=5),GR54,IF(AND($N$9=1,$N$21=11),GS54,IF(AND($N$9=1,$N$21=7),GT54,IF(AND($N$9=1,$N$21=3),GU54,IF(AND($N$9=1,$N$21=6),GV54,IF(AND($N$9=1,$N$21=9),GW54,IF(AND($N$9=1,$N$21=2),GX54,IF(AND($N$9=1,$N$21=8),GY54,0)))))))))))))))))))))</f>
        <v>0</v>
      </c>
      <c r="HA54" s="51"/>
      <c r="HB54" s="46"/>
      <c r="HC54" s="46"/>
      <c r="HD54" s="46"/>
      <c r="HE54" s="46"/>
      <c r="HF54" s="46"/>
      <c r="HG54" s="46"/>
      <c r="HH54" s="46"/>
      <c r="HI54" s="46"/>
      <c r="HK54" s="46">
        <v>111280</v>
      </c>
      <c r="HL54" s="46">
        <v>111281</v>
      </c>
      <c r="HM54" s="46">
        <v>111282</v>
      </c>
      <c r="HN54" s="46">
        <v>111283</v>
      </c>
      <c r="HO54" s="46">
        <v>111284</v>
      </c>
      <c r="HP54" s="46">
        <v>111285</v>
      </c>
      <c r="HQ54" s="46">
        <v>111286</v>
      </c>
      <c r="HR54" s="46">
        <v>111287</v>
      </c>
      <c r="HS54" s="46">
        <v>111288</v>
      </c>
      <c r="HT54" s="230">
        <v>111289</v>
      </c>
      <c r="HU54" s="52">
        <f>IF(AND($N$9=2,$N$21=1),HA54,IF(AND($N$9=2,$N$21=4),HB54,IF(AND($N$9=2,$N$21=5),HC54,IF(AND($N$9=2,$N$21=11),HD54,IF(AND($N$9=2,$N$21=7),HE54,IF(AND($N$9=2,$N$21=3),HF54,IF(AND($N$9=2,$N$21=6),HG54,IF(AND($N$9=2,$N$21=9),HH54,IF(AND($N$9=2,$N$21=2),HI54,IF(AND($N$9=2,$N$21=8),HJ54,IF(AND($N$9=1,$N$21=1),HK54,IF(AND($N$9=1,$N$21=1),HK54,IF(AND($N$9=1,$N$21=4),HL54,IF(AND($N$9=1,$N$21=5),HM54,IF(AND($N$9=1,$N$21=11),HN54,IF(AND($N$9=1,$N$21=7),HO54,IF(AND($N$9=1,$N$21=3),HP54,IF(AND($N$9=1,$N$21=6),HQ54,IF(AND($N$9=1,$N$21=9),HR54,IF(AND($N$9=1,$N$21=2),HS54,IF(AND($N$9=1,$N$21=8),HT54,0)))))))))))))))))))))</f>
        <v>0</v>
      </c>
      <c r="HV54" s="51"/>
      <c r="HW54" s="46"/>
      <c r="HX54" s="46"/>
      <c r="HY54" s="46"/>
      <c r="HZ54" s="46"/>
      <c r="IA54" s="46"/>
      <c r="IB54" s="46"/>
      <c r="IC54" s="46"/>
      <c r="ID54" s="46"/>
      <c r="IF54" s="46">
        <v>111280</v>
      </c>
      <c r="IG54" s="46">
        <v>111281</v>
      </c>
      <c r="IH54" s="46">
        <v>111282</v>
      </c>
      <c r="II54" s="46">
        <v>111283</v>
      </c>
      <c r="IJ54" s="46">
        <v>111284</v>
      </c>
      <c r="IK54" s="46">
        <v>111285</v>
      </c>
      <c r="IL54" s="46">
        <v>111286</v>
      </c>
      <c r="IM54" s="46">
        <v>111287</v>
      </c>
      <c r="IN54" s="46">
        <v>111288</v>
      </c>
      <c r="IO54" s="230">
        <v>111289</v>
      </c>
      <c r="IP54" s="52">
        <f>IF(AND($N$9=2,$N$21=1),HV54,IF(AND($N$9=2,$N$21=4),HW54,IF(AND($N$9=2,$N$21=5),HX54,IF(AND($N$9=2,$N$21=11),HY54,IF(AND($N$9=2,$N$21=7),HZ54,IF(AND($N$9=2,$N$21=3),IA54,IF(AND($N$9=2,$N$21=6),IB54,IF(AND($N$9=2,$N$21=9),IC54,IF(AND($N$9=2,$N$21=2),ID54,IF(AND($N$9=2,$N$21=8),IE54,IF(AND($N$9=1,$N$21=1),IF54,IF(AND($N$9=1,$N$21=1),IF54,IF(AND($N$9=1,$N$21=4),IG54,IF(AND($N$9=1,$N$21=5),IH54,IF(AND($N$9=1,$N$21=11),II54,IF(AND($N$9=1,$N$21=7),IJ54,IF(AND($N$9=1,$N$21=3),IK54,IF(AND($N$9=1,$N$21=6),IL54,IF(AND($N$9=1,$N$21=9),IM54,IF(AND($N$9=1,$N$21=2),IN54,IF(AND($N$9=1,$N$21=8),IO54,0)))))))))))))))))))))</f>
        <v>0</v>
      </c>
      <c r="IQ54" s="51"/>
      <c r="IR54" s="46"/>
      <c r="IS54" s="46"/>
      <c r="IT54" s="46"/>
      <c r="IU54" s="46"/>
      <c r="IV54" s="46"/>
      <c r="IW54" s="46"/>
      <c r="IX54" s="46"/>
      <c r="IY54" s="46"/>
      <c r="JA54" s="46">
        <v>111180</v>
      </c>
      <c r="JB54" s="46">
        <v>111181</v>
      </c>
      <c r="JC54" s="46">
        <v>111182</v>
      </c>
      <c r="JD54" s="46">
        <v>111183</v>
      </c>
      <c r="JE54" s="46">
        <v>111184</v>
      </c>
      <c r="JF54" s="46">
        <v>111185</v>
      </c>
      <c r="JG54" s="46">
        <v>111186</v>
      </c>
      <c r="JH54" s="46">
        <v>111187</v>
      </c>
      <c r="JI54" s="46">
        <v>111188</v>
      </c>
      <c r="JJ54" s="230">
        <v>111189</v>
      </c>
      <c r="JK54" s="52">
        <f>IF(AND($N$9=2,$N$21=1),IQ54,IF(AND($N$9=2,$N$21=4),IR54,IF(AND($N$9=2,$N$21=5),IS54,IF(AND($N$9=2,$N$21=11),IT54,IF(AND($N$9=2,$N$21=7),IU54,IF(AND($N$9=2,$N$21=3),IV54,IF(AND($N$9=2,$N$21=6),IW54,IF(AND($N$9=2,$N$21=9),IX54,IF(AND($N$9=2,$N$21=2),IY54,IF(AND($N$9=2,$N$21=8),IZ54,IF(AND($N$9=1,$N$21=1),JA54,IF(AND($N$9=1,$N$21=1),JA54,IF(AND($N$9=1,$N$21=4),JB54,IF(AND($N$9=1,$N$21=5),JC54,IF(AND($N$9=1,$N$21=11),JD54,IF(AND($N$9=1,$N$21=7),JE54,IF(AND($N$9=1,$N$21=3),JF54,IF(AND($N$9=1,$N$21=6),JG54,IF(AND($N$9=1,$N$21=9),JH54,IF(AND($N$9=1,$N$21=2),JI54,IF(AND($N$9=1,$N$21=8),JJ54,0)))))))))))))))))))))</f>
        <v>0</v>
      </c>
      <c r="JL54" s="51"/>
      <c r="JM54" s="46"/>
      <c r="JN54" s="46"/>
      <c r="JO54" s="46"/>
      <c r="JP54" s="46"/>
      <c r="JQ54" s="46"/>
      <c r="JR54" s="46"/>
      <c r="JS54" s="46"/>
      <c r="JT54" s="46"/>
      <c r="JV54" s="46">
        <v>111180</v>
      </c>
      <c r="JW54" s="46">
        <v>111181</v>
      </c>
      <c r="JX54" s="46">
        <v>111182</v>
      </c>
      <c r="JY54" s="46">
        <v>111183</v>
      </c>
      <c r="JZ54" s="46">
        <v>111184</v>
      </c>
      <c r="KA54" s="46">
        <v>111185</v>
      </c>
      <c r="KB54" s="46">
        <v>111186</v>
      </c>
      <c r="KC54" s="46">
        <v>111187</v>
      </c>
      <c r="KD54" s="46">
        <v>111188</v>
      </c>
      <c r="KE54" s="230">
        <v>111189</v>
      </c>
      <c r="KF54" s="52">
        <f>IF(AND($N$9=2,$N$21=1),JL54,IF(AND($N$9=2,$N$21=4),JM54,IF(AND($N$9=2,$N$21=5),JN54,IF(AND($N$9=2,$N$21=11),JO54,IF(AND($N$9=2,$N$21=7),JP54,IF(AND($N$9=2,$N$21=3),JQ54,IF(AND($N$9=2,$N$21=6),JR54,IF(AND($N$9=2,$N$21=9),JS54,IF(AND($N$9=2,$N$21=2),JT54,IF(AND($N$9=2,$N$21=8),JU54,IF(AND($N$9=1,$N$21=1),JV54,IF(AND($N$9=1,$N$21=1),JV54,IF(AND($N$9=1,$N$21=4),JW54,IF(AND($N$9=1,$N$21=5),JX54,IF(AND($N$9=1,$N$21=11),JY54,IF(AND($N$9=1,$N$21=7),JZ54,IF(AND($N$9=1,$N$21=3),KA54,IF(AND($N$9=1,$N$21=6),KB54,IF(AND($N$9=1,$N$21=9),KC54,IF(AND($N$9=1,$N$21=2),KD54,IF(AND($N$9=1,$N$21=8),KE54,0)))))))))))))))))))))</f>
        <v>0</v>
      </c>
      <c r="KG54" s="51"/>
      <c r="KH54" s="46"/>
      <c r="KI54" s="46"/>
      <c r="KJ54" s="46"/>
      <c r="KK54" s="46"/>
      <c r="KL54" s="46"/>
      <c r="KM54" s="46"/>
      <c r="KN54" s="46"/>
      <c r="KO54" s="46"/>
      <c r="KQ54" s="46">
        <v>111180</v>
      </c>
      <c r="KR54" s="46">
        <v>111181</v>
      </c>
      <c r="KS54" s="46">
        <v>111182</v>
      </c>
      <c r="KT54" s="46">
        <v>111183</v>
      </c>
      <c r="KU54" s="46">
        <v>111184</v>
      </c>
      <c r="KV54" s="46">
        <v>111185</v>
      </c>
      <c r="KW54" s="46">
        <v>111186</v>
      </c>
      <c r="KX54" s="46">
        <v>111187</v>
      </c>
      <c r="KY54" s="46">
        <v>111188</v>
      </c>
      <c r="KZ54" s="230">
        <v>111189</v>
      </c>
      <c r="LA54" s="52">
        <f>IF(AND($N$9=2,$N$21=1),KG54,IF(AND($N$9=2,$N$21=4),KH54,IF(AND($N$9=2,$N$21=5),KI54,IF(AND($N$9=2,$N$21=11),KJ54,IF(AND($N$9=2,$N$21=7),KK54,IF(AND($N$9=2,$N$21=3),KL54,IF(AND($N$9=2,$N$21=6),KM54,IF(AND($N$9=2,$N$21=9),KN54,IF(AND($N$9=2,$N$21=2),KO54,IF(AND($N$9=2,$N$21=8),KP54,IF(AND($N$9=1,$N$21=1),KQ54,IF(AND($N$9=1,$N$21=1),KQ54,IF(AND($N$9=1,$N$21=4),KR54,IF(AND($N$9=1,$N$21=5),KS54,IF(AND($N$9=1,$N$21=11),KT54,IF(AND($N$9=1,$N$21=7),KU54,IF(AND($N$9=1,$N$21=3),KV54,IF(AND($N$9=1,$N$21=6),KW54,IF(AND($N$9=1,$N$21=9),KX54,IF(AND($N$9=1,$N$21=2),KY54,IF(AND($N$9=1,$N$21=8),KZ54,0)))))))))))))))))))))</f>
        <v>0</v>
      </c>
      <c r="LB54" s="51"/>
      <c r="LC54" s="46"/>
      <c r="LD54" s="46"/>
      <c r="LE54" s="46"/>
      <c r="LF54" s="46"/>
      <c r="LG54" s="46"/>
      <c r="LH54" s="46"/>
      <c r="LI54" s="46"/>
      <c r="LJ54" s="46"/>
      <c r="LL54" s="46">
        <v>111200</v>
      </c>
      <c r="LM54" s="46">
        <v>111201</v>
      </c>
      <c r="LN54" s="46">
        <v>111202</v>
      </c>
      <c r="LO54" s="46">
        <v>111203</v>
      </c>
      <c r="LP54" s="46">
        <v>111204</v>
      </c>
      <c r="LQ54" s="46">
        <v>111205</v>
      </c>
      <c r="LR54" s="46">
        <v>111206</v>
      </c>
      <c r="LS54" s="46">
        <v>111207</v>
      </c>
      <c r="LT54" s="46">
        <v>111208</v>
      </c>
      <c r="LU54" s="230">
        <v>111209</v>
      </c>
      <c r="LV54" s="52">
        <f>IF(AND($N$9=2,$N$21=1),LB54,IF(AND($N$9=2,$N$21=4),LC54,IF(AND($N$9=2,$N$21=5),LD54,IF(AND($N$9=2,$N$21=11),LE54,IF(AND($N$9=2,$N$21=7),LF54,IF(AND($N$9=2,$N$21=3),LG54,IF(AND($N$9=2,$N$21=6),LH54,IF(AND($N$9=2,$N$21=9),LI54,IF(AND($N$9=2,$N$21=2),LJ54,IF(AND($N$9=2,$N$21=8),LK54,IF(AND($N$9=1,$N$21=1),LL54,IF(AND($N$9=1,$N$21=1),LL54,IF(AND($N$9=1,$N$21=4),LM54,IF(AND($N$9=1,$N$21=5),LN54,IF(AND($N$9=1,$N$21=11),LO54,IF(AND($N$9=1,$N$21=7),LP54,IF(AND($N$9=1,$N$21=3),LQ54,IF(AND($N$9=1,$N$21=6),LR54,IF(AND($N$9=1,$N$21=9),LS54,IF(AND($N$9=1,$N$21=2),LT54,IF(AND($N$9=1,$N$21=8),LU54,0)))))))))))))))))))))</f>
        <v>0</v>
      </c>
      <c r="LW54" s="51"/>
      <c r="LX54" s="46"/>
      <c r="LY54" s="46"/>
      <c r="LZ54" s="46"/>
      <c r="MA54" s="46"/>
      <c r="MB54" s="46"/>
      <c r="MC54" s="46"/>
      <c r="MD54" s="46"/>
      <c r="ME54" s="46"/>
      <c r="MG54" s="46">
        <v>111220</v>
      </c>
      <c r="MH54" s="46">
        <v>111221</v>
      </c>
      <c r="MI54" s="46">
        <v>111222</v>
      </c>
      <c r="MJ54" s="46">
        <v>111223</v>
      </c>
      <c r="MK54" s="46">
        <v>111224</v>
      </c>
      <c r="ML54" s="46">
        <v>111225</v>
      </c>
      <c r="MM54" s="46">
        <v>111226</v>
      </c>
      <c r="MN54" s="46">
        <v>111227</v>
      </c>
      <c r="MO54" s="46">
        <v>111228</v>
      </c>
      <c r="MP54" s="230">
        <v>111229</v>
      </c>
      <c r="MQ54" s="52">
        <f>IF(AND($N$9=2,$N$21=1),LW54,IF(AND($N$9=2,$N$21=4),LX54,IF(AND($N$9=2,$N$21=5),LY54,IF(AND($N$9=2,$N$21=11),LZ54,IF(AND($N$9=2,$N$21=7),MA54,IF(AND($N$9=2,$N$21=3),MB54,IF(AND($N$9=2,$N$21=6),MC54,IF(AND($N$9=2,$N$21=9),MD54,IF(AND($N$9=2,$N$21=2),ME54,IF(AND($N$9=2,$N$21=8),MF54,IF(AND($N$9=1,$N$21=1),MG54,IF(AND($N$9=1,$N$21=1),MG54,IF(AND($N$9=1,$N$21=4),MH54,IF(AND($N$9=1,$N$21=5),MI54,IF(AND($N$9=1,$N$21=11),MJ54,IF(AND($N$9=1,$N$21=7),MK54,IF(AND($N$9=1,$N$21=3),ML54,IF(AND($N$9=1,$N$21=6),MM54,IF(AND($N$9=1,$N$21=9),MN54,IF(AND($N$9=1,$N$21=2),MO54,IF(AND($N$9=1,$N$21=8),MP54,0)))))))))))))))))))))</f>
        <v>0</v>
      </c>
      <c r="MR54" s="51"/>
      <c r="MS54" s="46"/>
      <c r="MT54" s="46"/>
      <c r="MU54" s="46"/>
      <c r="MV54" s="46"/>
      <c r="MW54" s="46"/>
      <c r="MX54" s="46"/>
      <c r="MY54" s="46"/>
      <c r="MZ54" s="46"/>
      <c r="NB54" s="46">
        <v>111220</v>
      </c>
      <c r="NC54" s="46">
        <v>111221</v>
      </c>
      <c r="ND54" s="46">
        <v>111222</v>
      </c>
      <c r="NE54" s="46">
        <v>111223</v>
      </c>
      <c r="NF54" s="46">
        <v>111224</v>
      </c>
      <c r="NG54" s="46">
        <v>111225</v>
      </c>
      <c r="NH54" s="46">
        <v>111226</v>
      </c>
      <c r="NI54" s="46">
        <v>111227</v>
      </c>
      <c r="NJ54" s="46">
        <v>111228</v>
      </c>
      <c r="NK54" s="230">
        <v>111229</v>
      </c>
      <c r="NL54" s="52">
        <f>IF(AND($N$9=2,$N$21=1),MR54,IF(AND($N$9=2,$N$21=4),MS54,IF(AND($N$9=2,$N$21=5),MT54,IF(AND($N$9=2,$N$21=11),MU54,IF(AND($N$9=2,$N$21=7),MV54,IF(AND($N$9=2,$N$21=3),MW54,IF(AND($N$9=2,$N$21=6),MX54,IF(AND($N$9=2,$N$21=9),MY54,IF(AND($N$9=2,$N$21=2),MZ54,IF(AND($N$9=2,$N$21=8),NA54,IF(AND($N$9=1,$N$21=1),NB54,IF(AND($N$9=1,$N$21=1),NB54,IF(AND($N$9=1,$N$21=4),NC54,IF(AND($N$9=1,$N$21=5),ND54,IF(AND($N$9=1,$N$21=11),NE54,IF(AND($N$9=1,$N$21=7),NF54,IF(AND($N$9=1,$N$21=3),NG54,IF(AND($N$9=1,$N$21=6),NH54,IF(AND($N$9=1,$N$21=9),NI54,IF(AND($N$9=1,$N$21=2),NJ54,IF(AND($N$9=1,$N$21=8),NK54,0)))))))))))))))))))))</f>
        <v>0</v>
      </c>
      <c r="NM54" s="51"/>
      <c r="NN54" s="46"/>
      <c r="NO54" s="46"/>
      <c r="NP54" s="46"/>
      <c r="NQ54" s="46"/>
      <c r="NR54" s="46"/>
      <c r="NS54" s="46"/>
      <c r="NT54" s="46"/>
      <c r="NU54" s="46"/>
      <c r="NW54" s="46">
        <v>111600</v>
      </c>
      <c r="NX54" s="46">
        <v>111601</v>
      </c>
      <c r="NY54" s="46">
        <v>111602</v>
      </c>
      <c r="NZ54" s="46">
        <v>111603</v>
      </c>
      <c r="OA54" s="46">
        <v>111604</v>
      </c>
      <c r="OB54" s="46">
        <v>111605</v>
      </c>
      <c r="OC54" s="46">
        <v>111606</v>
      </c>
      <c r="OD54" s="46">
        <v>111607</v>
      </c>
      <c r="OE54" s="46">
        <v>111608</v>
      </c>
      <c r="OF54" s="230">
        <v>111609</v>
      </c>
      <c r="OG54" s="52">
        <f>IF(AND($N$9=2,$N$21=1),NM54,IF(AND($N$9=2,$N$21=4),NN54,IF(AND($N$9=2,$N$21=5),NO54,IF(AND($N$9=2,$N$21=11),NP54,IF(AND($N$9=2,$N$21=7),NQ54,IF(AND($N$9=2,$N$21=3),NR54,IF(AND($N$9=2,$N$21=6),NS54,IF(AND($N$9=2,$N$21=9),NT54,IF(AND($N$9=2,$N$21=2),NU54,IF(AND($N$9=2,$N$21=8),NV54,IF(AND($N$9=1,$N$21=1),NW54,IF(AND($N$9=1,$N$21=1),NW54,IF(AND($N$9=1,$N$21=4),NX54,IF(AND($N$9=1,$N$21=5),NY54,IF(AND($N$9=1,$N$21=11),NZ54,IF(AND($N$9=1,$N$21=7),OA54,IF(AND($N$9=1,$N$21=3),OB54,IF(AND($N$9=1,$N$21=6),OC54,IF(AND($N$9=1,$N$21=9),OD54,IF(AND($N$9=1,$N$21=2),OE54,IF(AND($N$9=1,$N$21=8),OF54,0)))))))))))))))))))))</f>
        <v>0</v>
      </c>
      <c r="OH54" s="51"/>
      <c r="OI54" s="46"/>
      <c r="OJ54" s="46"/>
      <c r="OK54" s="46"/>
      <c r="OL54" s="46"/>
      <c r="OM54" s="46"/>
      <c r="ON54" s="46"/>
      <c r="OO54" s="46"/>
      <c r="OP54" s="46"/>
      <c r="OR54" s="46">
        <v>111240</v>
      </c>
      <c r="OS54" s="46">
        <v>111241</v>
      </c>
      <c r="OT54" s="46">
        <v>111242</v>
      </c>
      <c r="OU54" s="46">
        <v>111243</v>
      </c>
      <c r="OV54" s="46">
        <v>111244</v>
      </c>
      <c r="OW54" s="46">
        <v>111245</v>
      </c>
      <c r="OX54" s="46">
        <v>111246</v>
      </c>
      <c r="OY54" s="46">
        <v>111247</v>
      </c>
      <c r="OZ54" s="46">
        <v>111248</v>
      </c>
      <c r="PA54" s="230">
        <v>111249</v>
      </c>
      <c r="PB54" s="52">
        <f>IF(AND($N$9=2,$N$21=1),OH54,IF(AND($N$9=2,$N$21=4),OI54,IF(AND($N$9=2,$N$21=5),OJ54,IF(AND($N$9=2,$N$21=11),OK54,IF(AND($N$9=2,$N$21=7),OL54,IF(AND($N$9=2,$N$21=3),OM54,IF(AND($N$9=2,$N$21=6),ON54,IF(AND($N$9=2,$N$21=9),OO54,IF(AND($N$9=2,$N$21=2),OP54,IF(AND($N$9=2,$N$21=8),OQ54,IF(AND($N$9=1,$N$21=1),OR54,IF(AND($N$9=1,$N$21=1),OR54,IF(AND($N$9=1,$N$21=4),OS54,IF(AND($N$9=1,$N$21=5),OT54,IF(AND($N$9=1,$N$21=11),OU54,IF(AND($N$9=1,$N$21=7),OV54,IF(AND($N$9=1,$N$21=3),OW54,IF(AND($N$9=1,$N$21=6),OX54,IF(AND($N$9=1,$N$21=9),OY54,IF(AND($N$9=1,$N$21=2),OZ54,IF(AND($N$9=1,$N$21=8),PA54,0)))))))))))))))))))))</f>
        <v>0</v>
      </c>
      <c r="PC54" s="51"/>
      <c r="PD54" s="46"/>
      <c r="PE54" s="46"/>
      <c r="PF54" s="46"/>
      <c r="PG54" s="46"/>
      <c r="PH54" s="46"/>
      <c r="PI54" s="46"/>
      <c r="PJ54" s="46"/>
      <c r="PK54" s="46"/>
      <c r="PM54" s="46">
        <v>111240</v>
      </c>
      <c r="PN54" s="46">
        <v>111241</v>
      </c>
      <c r="PO54" s="46">
        <v>111242</v>
      </c>
      <c r="PP54" s="46">
        <v>111243</v>
      </c>
      <c r="PQ54" s="46">
        <v>111244</v>
      </c>
      <c r="PR54" s="46">
        <v>111245</v>
      </c>
      <c r="PS54" s="46">
        <v>111246</v>
      </c>
      <c r="PT54" s="46">
        <v>111247</v>
      </c>
      <c r="PU54" s="46">
        <v>111248</v>
      </c>
      <c r="PV54" s="230">
        <v>111249</v>
      </c>
      <c r="PW54" s="52">
        <f>IF(AND($N$9=2,$N$21=1),PC54,IF(AND($N$9=2,$N$21=4),PD54,IF(AND($N$9=2,$N$21=5),PE54,IF(AND($N$9=2,$N$21=11),PF54,IF(AND($N$9=2,$N$21=7),PG54,IF(AND($N$9=2,$N$21=3),PH54,IF(AND($N$9=2,$N$21=6),PI54,IF(AND($N$9=2,$N$21=9),PJ54,IF(AND($N$9=2,$N$21=2),PK54,IF(AND($N$9=2,$N$21=8),PL54,IF(AND($N$9=1,$N$21=1),PM54,IF(AND($N$9=1,$N$21=1),PM54,IF(AND($N$9=1,$N$21=4),PN54,IF(AND($N$9=1,$N$21=5),PO54,IF(AND($N$9=1,$N$21=11),PP54,IF(AND($N$9=1,$N$21=7),PQ54,IF(AND($N$9=1,$N$21=3),PR54,IF(AND($N$9=1,$N$21=6),PS54,IF(AND($N$9=1,$N$21=9),PT54,IF(AND($N$9=1,$N$21=2),PU54,IF(AND($N$9=1,$N$21=8),PV54,0)))))))))))))))))))))</f>
        <v>0</v>
      </c>
      <c r="PX54" s="51"/>
      <c r="PY54" s="46"/>
      <c r="PZ54" s="46"/>
      <c r="QA54" s="46"/>
      <c r="QB54" s="46"/>
      <c r="QC54" s="46"/>
      <c r="QD54" s="46"/>
      <c r="QE54" s="46"/>
      <c r="QF54" s="46"/>
      <c r="QH54" s="46">
        <v>111620</v>
      </c>
      <c r="QI54" s="46">
        <v>111621</v>
      </c>
      <c r="QJ54" s="46">
        <v>111622</v>
      </c>
      <c r="QK54" s="46">
        <v>111623</v>
      </c>
      <c r="QL54" s="46">
        <v>111624</v>
      </c>
      <c r="QM54" s="46">
        <v>111625</v>
      </c>
      <c r="QN54" s="46">
        <v>111626</v>
      </c>
      <c r="QO54" s="46">
        <v>111627</v>
      </c>
      <c r="QP54" s="46">
        <v>111628</v>
      </c>
      <c r="QQ54" s="230">
        <v>111629</v>
      </c>
      <c r="QR54" s="52">
        <f>IF(AND($N$9=2,$N$21=1),PX54,IF(AND($N$9=2,$N$21=4),PY54,IF(AND($N$9=2,$N$21=5),PZ54,IF(AND($N$9=2,$N$21=11),QA54,IF(AND($N$9=2,$N$21=7),QB54,IF(AND($N$9=2,$N$21=3),QC54,IF(AND($N$9=2,$N$21=6),QD54,IF(AND($N$9=2,$N$21=9),QE54,IF(AND($N$9=2,$N$21=2),QF54,IF(AND($N$9=2,$N$21=8),QG54,IF(AND($N$9=1,$N$21=1),QH54,IF(AND($N$9=1,$N$21=1),QH54,IF(AND($N$9=1,$N$21=4),QI54,IF(AND($N$9=1,$N$21=5),QJ54,IF(AND($N$9=1,$N$21=11),QK54,IF(AND($N$9=1,$N$21=7),QL54,IF(AND($N$9=1,$N$21=3),QM54,IF(AND($N$9=1,$N$21=6),QN54,IF(AND($N$9=1,$N$21=9),QO54,IF(AND($N$9=1,$N$21=2),QP54,IF(AND($N$9=1,$N$21=8),QQ54,0)))))))))))))))))))))</f>
        <v>0</v>
      </c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>IF(OR(J55=Formeln!$A$51,J55=Formeln!$A$52,J55=Formeln!$A$53,J55=Formeln!$A$77,J55=Formeln!$A$78,J55=Formeln!$A$79),AN55,IF(OR(J55=Formeln!$A$54,J55=Formeln!$A$55,J55=Formeln!$A$56,J55=Formeln!$A$80,J55=Formeln!$A$81,J55=Formeln!$A$82),BI55,IF(OR(J55=Formeln!$A$57,J55=Formeln!$A$58,J55=Formeln!$A$59,J55=Formeln!$A$83,J55=Formeln!$A$84,J55=Formeln!$A$85),CD55,IF(OR(J55=Formeln!$A$60,J55=Formeln!$A$61,J55=Formeln!$A$86,J55=Formeln!$A$87),CY55,IF(OR(J55=Formeln!$A$62,J55=Formeln!$A$63,J55=Formeln!$A$64,J55=Formeln!$A$88,J55=Formeln!$A$89,J55=Formeln!$A$90),DT55,IF(OR(J55=Formeln!$A$65,J55=Formeln!$A$66,J55=Formeln!$A$91,J55=Formeln!$A$92),EO55,IF(OR(J55=Formeln!$A$67,J55=Formeln!$A$68,J55=Formeln!$A$69,J55=Formeln!$A$70,J55=Formeln!$A$71,J55=Formeln!$A$93,J55=Formeln!$A$94,J55=Formeln!$A$95,J55=Formeln!$A$96,J55=Formeln!$A$97),FJ55,IF(OR(J55=Formeln!$A$72,J55=Formeln!$A$73,J55=Formeln!$A$74,J55=Formeln!$A$98,J55=Formeln!$A$99,J55=Formeln!$A$100),GE55,0))))))))</f>
        <v>0</v>
      </c>
      <c r="E55" s="250" t="str">
        <f>VLOOKUP("ROTO Einfassung",Sprachindex!A:Z,Info!$O$6,FALSE)</f>
        <v>ROTO Einfassung</v>
      </c>
      <c r="F55" s="251"/>
      <c r="G55" s="251"/>
      <c r="H55" s="251"/>
      <c r="I55" s="101" t="str">
        <f>VLOOKUP("Maße:",Sprachindex!A:Z,Info!$O$6,FALSE)</f>
        <v>Maße:</v>
      </c>
      <c r="J55" s="252"/>
      <c r="K55" s="267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/>
      <c r="U55" s="46"/>
      <c r="V55" s="46"/>
      <c r="W55" s="46"/>
      <c r="X55" s="46"/>
      <c r="Y55" s="46"/>
      <c r="Z55" s="46"/>
      <c r="AA55" s="46"/>
      <c r="AB55" s="46"/>
      <c r="AD55" s="46">
        <v>111300</v>
      </c>
      <c r="AE55" s="46">
        <v>111301</v>
      </c>
      <c r="AF55" s="46">
        <v>111302</v>
      </c>
      <c r="AG55" s="46">
        <v>111303</v>
      </c>
      <c r="AH55" s="46">
        <v>111304</v>
      </c>
      <c r="AI55" s="46">
        <v>111305</v>
      </c>
      <c r="AJ55" s="46">
        <v>111306</v>
      </c>
      <c r="AK55" s="46">
        <v>111307</v>
      </c>
      <c r="AL55" s="46">
        <v>111308</v>
      </c>
      <c r="AM55" s="229">
        <v>111309</v>
      </c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46">
        <v>111320</v>
      </c>
      <c r="AZ55" s="46">
        <v>111321</v>
      </c>
      <c r="BA55" s="46">
        <v>111322</v>
      </c>
      <c r="BB55" s="46">
        <v>111323</v>
      </c>
      <c r="BC55" s="46">
        <v>111324</v>
      </c>
      <c r="BD55" s="46">
        <v>111325</v>
      </c>
      <c r="BE55" s="46">
        <v>111326</v>
      </c>
      <c r="BF55" s="46">
        <v>111327</v>
      </c>
      <c r="BG55" s="46">
        <v>111328</v>
      </c>
      <c r="BH55" s="229">
        <v>111329</v>
      </c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IF(AND($N$9=1,$N$21=8),BH55,0)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46">
        <v>111340</v>
      </c>
      <c r="BU55" s="46">
        <v>111341</v>
      </c>
      <c r="BV55" s="46">
        <v>111342</v>
      </c>
      <c r="BW55" s="46">
        <v>111343</v>
      </c>
      <c r="BX55" s="46">
        <v>111344</v>
      </c>
      <c r="BY55" s="46">
        <v>111345</v>
      </c>
      <c r="BZ55" s="46">
        <v>111346</v>
      </c>
      <c r="CA55" s="46">
        <v>111347</v>
      </c>
      <c r="CB55" s="46">
        <v>111348</v>
      </c>
      <c r="CC55" s="229">
        <v>111349</v>
      </c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IF(AND($N$9=1,$N$21=8),CC55,0)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46">
        <v>111360</v>
      </c>
      <c r="CP55" s="46">
        <v>111361</v>
      </c>
      <c r="CQ55" s="46">
        <v>111362</v>
      </c>
      <c r="CR55" s="46">
        <v>111363</v>
      </c>
      <c r="CS55" s="46">
        <v>111364</v>
      </c>
      <c r="CT55" s="46">
        <v>111365</v>
      </c>
      <c r="CU55" s="46">
        <v>111366</v>
      </c>
      <c r="CV55" s="46">
        <v>111367</v>
      </c>
      <c r="CW55" s="46">
        <v>111368</v>
      </c>
      <c r="CX55" s="229">
        <v>111369</v>
      </c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IF(AND($N$9=1,$N$21=8),CX55,0)))))))))))))))))))))</f>
        <v>0</v>
      </c>
      <c r="DJ55" s="46">
        <v>111380</v>
      </c>
      <c r="DK55" s="46">
        <v>111381</v>
      </c>
      <c r="DL55" s="46">
        <v>111382</v>
      </c>
      <c r="DM55" s="46">
        <v>111383</v>
      </c>
      <c r="DN55" s="46">
        <v>111384</v>
      </c>
      <c r="DO55" s="46">
        <v>111385</v>
      </c>
      <c r="DP55" s="46">
        <v>111386</v>
      </c>
      <c r="DQ55" s="46">
        <v>111387</v>
      </c>
      <c r="DR55" s="46">
        <v>111388</v>
      </c>
      <c r="DS55" s="229">
        <v>111389</v>
      </c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IF(AND($N$9=1,$N$21=8),DS55,0)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46">
        <v>111400</v>
      </c>
      <c r="EF55" s="46">
        <v>111401</v>
      </c>
      <c r="EG55" s="46">
        <v>111402</v>
      </c>
      <c r="EH55" s="46">
        <v>111403</v>
      </c>
      <c r="EI55" s="46">
        <v>111404</v>
      </c>
      <c r="EJ55" s="46">
        <v>111405</v>
      </c>
      <c r="EK55" s="46">
        <v>111406</v>
      </c>
      <c r="EL55" s="46">
        <v>111407</v>
      </c>
      <c r="EM55" s="46">
        <v>111408</v>
      </c>
      <c r="EN55" s="229">
        <v>111409</v>
      </c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IF(AND($N$9=1,$N$21=8),EN55,0)))))))))))))))))))))</f>
        <v>0</v>
      </c>
      <c r="EP55" s="46"/>
      <c r="EQ55" s="46"/>
      <c r="ER55" s="46"/>
      <c r="ES55" s="46"/>
      <c r="ET55" s="46"/>
      <c r="EU55" s="46"/>
      <c r="EV55" s="46"/>
      <c r="EW55" s="46"/>
      <c r="EX55" s="46"/>
      <c r="EZ55" s="46">
        <v>111420</v>
      </c>
      <c r="FA55" s="46">
        <v>111421</v>
      </c>
      <c r="FB55" s="46">
        <v>111422</v>
      </c>
      <c r="FC55" s="46">
        <v>111423</v>
      </c>
      <c r="FD55" s="46">
        <v>111424</v>
      </c>
      <c r="FE55" s="46">
        <v>111425</v>
      </c>
      <c r="FF55" s="46">
        <v>111426</v>
      </c>
      <c r="FG55" s="46">
        <v>111427</v>
      </c>
      <c r="FH55" s="46">
        <v>111428</v>
      </c>
      <c r="FI55" s="229">
        <v>111429</v>
      </c>
      <c r="FJ55" s="52">
        <f>IF(AND($N$9=2,$N$21=1),EP55,IF(AND($N$9=2,$N$21=4),EQ55,IF(AND($N$9=2,$N$21=5),ER55,IF(AND($N$9=2,$N$21=11),ES55,IF(AND($N$9=2,$N$21=7),ET55,IF(AND($N$9=2,$N$21=3),EU55,IF(AND($N$9=2,$N$21=6),EV55,IF(AND($N$9=2,$N$21=9),EW55,IF(AND($N$9=2,$N$21=2),EX55,IF(AND($N$9=2,$N$21=8),EY55,IF(AND($N$9=1,$N$21=1),EZ55,IF(AND($N$9=1,$N$21=1),EZ55,IF(AND($N$9=1,$N$21=4),FA55,IF(AND($N$9=1,$N$21=5),FB55,IF(AND($N$9=1,$N$21=11),FC55,IF(AND($N$9=1,$N$21=7),FD55,IF(AND($N$9=1,$N$21=3),FE55,IF(AND($N$9=1,$N$21=6),FF55,IF(AND($N$9=1,$N$21=9),FG55,IF(AND($N$9=1,$N$21=2),FH55,IF(AND($N$9=1,$N$21=8),FI55,0)))))))))))))))))))))</f>
        <v>0</v>
      </c>
      <c r="FK55" s="46"/>
      <c r="FL55" s="46"/>
      <c r="FM55" s="46"/>
      <c r="FN55" s="46"/>
      <c r="FO55" s="46"/>
      <c r="FP55" s="46"/>
      <c r="FQ55" s="46"/>
      <c r="FR55" s="46"/>
      <c r="FS55" s="46"/>
      <c r="FU55" s="46">
        <v>111440</v>
      </c>
      <c r="FV55" s="46">
        <v>111441</v>
      </c>
      <c r="FW55" s="46">
        <v>111442</v>
      </c>
      <c r="FX55" s="46">
        <v>111443</v>
      </c>
      <c r="FY55" s="46">
        <v>111444</v>
      </c>
      <c r="FZ55" s="46">
        <v>111445</v>
      </c>
      <c r="GA55" s="46">
        <v>111446</v>
      </c>
      <c r="GB55" s="46">
        <v>111447</v>
      </c>
      <c r="GC55" s="46">
        <v>111448</v>
      </c>
      <c r="GD55" s="229">
        <v>111449</v>
      </c>
      <c r="GE55" s="52">
        <f>IF(AND($N$9=2,$N$21=1),FK55,IF(AND($N$9=2,$N$21=4),FL55,IF(AND($N$9=2,$N$21=5),FM55,IF(AND($N$9=2,$N$21=11),FN55,IF(AND($N$9=2,$N$21=7),FO55,IF(AND($N$9=2,$N$21=3),FP55,IF(AND($N$9=2,$N$21=6),FQ55,IF(AND($N$9=2,$N$21=9),FR55,IF(AND($N$9=2,$N$21=2),FS55,IF(AND($N$9=2,$N$21=8),FT55,IF(AND($N$9=1,$N$21=1),FU55,IF(AND($N$9=1,$N$21=1),FU55,IF(AND($N$9=1,$N$21=4),FV55,IF(AND($N$9=1,$N$21=5),FW55,IF(AND($N$9=1,$N$21=11),FX55,IF(AND($N$9=1,$N$21=7),FY55,IF(AND($N$9=1,$N$21=3),FZ55,IF(AND($N$9=1,$N$21=6),GA55,IF(AND($N$9=1,$N$21=9),GB55,IF(AND($N$9=1,$N$21=2),GC55,IF(AND($N$9=1,$N$21=8),GD55,0)))))))))))))))))))))</f>
        <v>0</v>
      </c>
      <c r="GZ55" s="52"/>
      <c r="HU55" s="52"/>
      <c r="IP55" s="52"/>
      <c r="JK55" s="52"/>
      <c r="KF55" s="52"/>
      <c r="LA55" s="52"/>
      <c r="LV55" s="52"/>
      <c r="MQ55" s="52"/>
      <c r="NL55" s="52"/>
      <c r="OG55" s="52"/>
      <c r="PB55" s="52"/>
      <c r="PW55" s="52"/>
      <c r="QR55" s="52"/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v>111700</v>
      </c>
      <c r="E56" s="250" t="str">
        <f>VLOOKUP("ROTO Einfassung-Q-Serie",Sprachindex!A:Z,Info!$O$6,FALSE)</f>
        <v>ROTO Einfassung-Q-Serie</v>
      </c>
      <c r="F56" s="251"/>
      <c r="G56" s="251"/>
      <c r="H56" s="251"/>
      <c r="I56" s="101" t="str">
        <f>VLOOKUP("Maße:",Sprachindex!A:Z,Info!$O$6,FALSE)</f>
        <v>Maße:</v>
      </c>
      <c r="J56" s="252"/>
      <c r="K56" s="267"/>
      <c r="L56" s="96" t="str">
        <f>IF($A56=0,"",IF($J56=Formeln!$A$49," ",IF($N$11=1,P56,Q56)))</f>
        <v/>
      </c>
      <c r="M56" s="97"/>
      <c r="O56" s="1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/>
      <c r="U56" s="46"/>
      <c r="V56" s="46"/>
      <c r="W56" s="46"/>
      <c r="X56" s="46"/>
      <c r="Y56" s="46"/>
      <c r="Z56" s="46"/>
      <c r="AA56" s="46"/>
      <c r="AB56" s="46"/>
      <c r="AD56" s="161"/>
      <c r="AE56" s="161"/>
      <c r="AF56" s="161"/>
      <c r="AG56" s="161"/>
      <c r="AH56" s="161"/>
      <c r="AI56" s="161"/>
      <c r="AJ56" s="161"/>
      <c r="AK56" s="161"/>
      <c r="AL56" s="161"/>
      <c r="AM56" s="231"/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56,0))))))))))))))))))))</f>
        <v>0</v>
      </c>
      <c r="AO56" s="46"/>
      <c r="AP56" s="46"/>
      <c r="AQ56" s="46"/>
      <c r="AR56" s="46"/>
      <c r="AS56" s="46"/>
      <c r="AT56" s="46"/>
      <c r="AU56" s="46"/>
      <c r="AV56" s="46"/>
      <c r="AW56" s="46"/>
      <c r="AY56" s="161"/>
      <c r="AZ56" s="161"/>
      <c r="BA56" s="161"/>
      <c r="BB56" s="161"/>
      <c r="BC56" s="161"/>
      <c r="BD56" s="161"/>
      <c r="BE56" s="161"/>
      <c r="BF56" s="161"/>
      <c r="BG56" s="161"/>
      <c r="BH56" s="231"/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56,0))))))))))))))))))))</f>
        <v>0</v>
      </c>
      <c r="BJ56" s="46"/>
      <c r="BK56" s="46"/>
      <c r="BL56" s="46"/>
      <c r="BM56" s="46"/>
      <c r="BN56" s="46"/>
      <c r="BO56" s="46"/>
      <c r="BP56" s="46"/>
      <c r="BQ56" s="46"/>
      <c r="BR56" s="46"/>
      <c r="BT56" s="161"/>
      <c r="BU56" s="161"/>
      <c r="BV56" s="161"/>
      <c r="BW56" s="161"/>
      <c r="BX56" s="161"/>
      <c r="BY56" s="161"/>
      <c r="BZ56" s="161"/>
      <c r="CA56" s="161"/>
      <c r="CB56" s="161"/>
      <c r="CC56" s="231"/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56,0))))))))))))))))))))</f>
        <v>0</v>
      </c>
      <c r="CE56" s="46"/>
      <c r="CF56" s="46"/>
      <c r="CG56" s="46"/>
      <c r="CH56" s="46"/>
      <c r="CI56" s="46"/>
      <c r="CJ56" s="46"/>
      <c r="CK56" s="46"/>
      <c r="CL56" s="46"/>
      <c r="CM56" s="46"/>
      <c r="CO56" s="161"/>
      <c r="CP56" s="161"/>
      <c r="CQ56" s="161"/>
      <c r="CR56" s="161"/>
      <c r="CS56" s="161"/>
      <c r="CT56" s="161"/>
      <c r="CU56" s="161"/>
      <c r="CV56" s="161"/>
      <c r="CW56" s="161"/>
      <c r="CX56" s="231"/>
      <c r="CY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56,0))))))))))))))))))))</f>
        <v>0</v>
      </c>
      <c r="DJ56" s="161"/>
      <c r="DK56" s="161"/>
      <c r="DL56" s="161"/>
      <c r="DM56" s="161"/>
      <c r="DN56" s="161"/>
      <c r="DO56" s="161"/>
      <c r="DP56" s="161"/>
      <c r="DQ56" s="161"/>
      <c r="DR56" s="161"/>
      <c r="DS56" s="231"/>
      <c r="DT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56,0))))))))))))))))))))</f>
        <v>0</v>
      </c>
      <c r="DU56" s="46"/>
      <c r="DV56" s="46"/>
      <c r="DW56" s="46"/>
      <c r="DX56" s="46"/>
      <c r="DY56" s="46"/>
      <c r="DZ56" s="46"/>
      <c r="EA56" s="46"/>
      <c r="EB56" s="46"/>
      <c r="EC56" s="46"/>
      <c r="EE56" s="161"/>
      <c r="EF56" s="161"/>
      <c r="EG56" s="161"/>
      <c r="EH56" s="161"/>
      <c r="EI56" s="161"/>
      <c r="EJ56" s="161"/>
      <c r="EK56" s="161"/>
      <c r="EL56" s="161"/>
      <c r="EM56" s="161"/>
      <c r="EN56" s="231"/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56,0))))))))))))))))))))</f>
        <v>0</v>
      </c>
      <c r="GW56" s="160"/>
      <c r="HR56" s="160"/>
      <c r="IM56" s="160"/>
      <c r="JH56" s="160"/>
      <c r="KC56" s="160"/>
      <c r="KX56" s="160"/>
      <c r="LS56" s="160"/>
      <c r="MN56" s="160"/>
      <c r="NI56" s="160"/>
      <c r="OD56" s="160"/>
      <c r="OY56" s="160"/>
      <c r="PT56" s="160"/>
      <c r="QO56" s="160"/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f t="shared" ref="D57:D63" si="2">IF($N$21=1,T57,IF($N$21=4,U57,IF($N$21=5,V57,IF($N$21=11,W57,IF($N$21=7,X57,IF($N$21=3,Y57,IF($N$21=6,Z57,IF($N$21=9,AA57,IF($N$21=2,AB57,IF($N$21=8,AC57,0))))))))))</f>
        <v>0</v>
      </c>
      <c r="E57" s="250" t="str">
        <f>VLOOKUP("Einzeltritt",Sprachindex!A:Z,Info!$O$6,FALSE)</f>
        <v>Einzeltritt</v>
      </c>
      <c r="F57" s="251"/>
      <c r="G57" s="251"/>
      <c r="H57" s="251"/>
      <c r="I57" s="251"/>
      <c r="J57" s="251"/>
      <c r="K57" s="257"/>
      <c r="L57" s="96" t="str">
        <f t="shared" ref="L57:L69" si="3">IF(A57=0,"",IF($N$11=1,P57,Q57))</f>
        <v/>
      </c>
      <c r="M57" s="97"/>
      <c r="O57" s="1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>
        <v>120070</v>
      </c>
      <c r="U57" s="46">
        <v>120071</v>
      </c>
      <c r="V57" s="46">
        <v>120072</v>
      </c>
      <c r="W57" s="46">
        <v>120073</v>
      </c>
      <c r="X57" s="46">
        <v>120074</v>
      </c>
      <c r="Y57" s="46">
        <v>120075</v>
      </c>
      <c r="Z57" s="46">
        <v>120076</v>
      </c>
      <c r="AA57" s="46">
        <v>120077</v>
      </c>
      <c r="AB57" s="46">
        <v>120078</v>
      </c>
      <c r="AC57" s="46">
        <v>120079</v>
      </c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f t="shared" si="2"/>
        <v>0</v>
      </c>
      <c r="E58" s="250" t="str">
        <f>VLOOKUP("Laufstegstütze FT250, inkl. Zubehör",Sprachindex!A:Z,Info!$O$6,FALSE)</f>
        <v>Laufstegstütze FT250, inkl. Zubehör</v>
      </c>
      <c r="F58" s="251"/>
      <c r="G58" s="251"/>
      <c r="H58" s="251"/>
      <c r="I58" s="251"/>
      <c r="J58" s="251"/>
      <c r="K58" s="257"/>
      <c r="L58" s="96" t="str">
        <f t="shared" si="3"/>
        <v/>
      </c>
      <c r="M58" s="97"/>
      <c r="O58" s="1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>
        <v>120080</v>
      </c>
      <c r="U58" s="46">
        <v>120081</v>
      </c>
      <c r="V58" s="46">
        <v>120082</v>
      </c>
      <c r="W58" s="46">
        <v>120083</v>
      </c>
      <c r="X58" s="46">
        <v>120084</v>
      </c>
      <c r="Y58" s="46">
        <v>120085</v>
      </c>
      <c r="Z58" s="46">
        <v>120086</v>
      </c>
      <c r="AA58" s="46">
        <v>120087</v>
      </c>
      <c r="AB58" s="46">
        <v>120088</v>
      </c>
      <c r="AC58" s="46">
        <v>120089</v>
      </c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v>649304</v>
      </c>
      <c r="E59" s="250" t="str">
        <f>VLOOKUP("Laufstegstütze auf zwei Fussteilen, geprüft nach EN 516-1-B (360 mm)",Sprachindex!A:Z,Info!$O$6,FALSE)</f>
        <v>Laufstegstütze auf zwei Fussteilen, geprüft nach EN 516-1-B (360 mm)</v>
      </c>
      <c r="F59" s="251"/>
      <c r="G59" s="251"/>
      <c r="H59" s="251"/>
      <c r="I59" s="251"/>
      <c r="J59" s="251"/>
      <c r="K59" s="257"/>
      <c r="L59" s="96" t="str">
        <f t="shared" si="3"/>
        <v/>
      </c>
      <c r="M59" s="9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 t="shared" si="2"/>
        <v>0</v>
      </c>
      <c r="E60" s="250" t="str">
        <f>VLOOKUP("Laufsteg 250x1200mm, inkl. Befestigung ",Sprachindex!A:Z,Info!$O$6,FALSE)</f>
        <v xml:space="preserve">Laufsteg 250x1200mm, inkl. Befestigung </v>
      </c>
      <c r="F60" s="251"/>
      <c r="G60" s="251"/>
      <c r="H60" s="251"/>
      <c r="I60" s="251"/>
      <c r="J60" s="251"/>
      <c r="K60" s="257"/>
      <c r="L60" s="96" t="str">
        <f t="shared" si="3"/>
        <v/>
      </c>
      <c r="M60" s="9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>
        <v>120030</v>
      </c>
      <c r="U60" s="46">
        <v>120031</v>
      </c>
      <c r="V60" s="46">
        <v>120032</v>
      </c>
      <c r="W60" s="46">
        <v>120033</v>
      </c>
      <c r="X60" s="46">
        <v>120034</v>
      </c>
      <c r="Y60" s="46">
        <v>120035</v>
      </c>
      <c r="Z60" s="46">
        <v>120036</v>
      </c>
      <c r="AA60" s="46">
        <v>120037</v>
      </c>
      <c r="AB60" s="46">
        <v>120038</v>
      </c>
      <c r="AC60" s="46">
        <v>120039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f t="shared" si="2"/>
        <v>0</v>
      </c>
      <c r="E61" s="250" t="str">
        <f>VLOOKUP("Laufsteg 250x800mm, inkl. Befestigung ",Sprachindex!A:Z,Info!$O$6,FALSE)</f>
        <v xml:space="preserve">Laufsteg 250x800mm, inkl. Befestigung </v>
      </c>
      <c r="F61" s="251"/>
      <c r="G61" s="251"/>
      <c r="H61" s="251"/>
      <c r="I61" s="251"/>
      <c r="J61" s="251"/>
      <c r="K61" s="257"/>
      <c r="L61" s="96" t="str">
        <f t="shared" si="3"/>
        <v/>
      </c>
      <c r="M61" s="9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46">
        <v>120020</v>
      </c>
      <c r="U61" s="46">
        <v>120021</v>
      </c>
      <c r="V61" s="46">
        <v>120022</v>
      </c>
      <c r="W61" s="46">
        <v>120023</v>
      </c>
      <c r="X61" s="46">
        <v>120024</v>
      </c>
      <c r="Y61" s="46">
        <v>120025</v>
      </c>
      <c r="Z61" s="46">
        <v>120026</v>
      </c>
      <c r="AA61" s="46">
        <v>120027</v>
      </c>
      <c r="AB61" s="46">
        <v>120028</v>
      </c>
      <c r="AC61" s="46">
        <v>121075</v>
      </c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 t="shared" si="2"/>
        <v>0</v>
      </c>
      <c r="E62" s="250" t="str">
        <f>VLOOKUP("Laufsteg 250x600mm, inkl. Befestigung ",Sprachindex!A:Z,Info!$O$6,FALSE)</f>
        <v xml:space="preserve">Laufsteg 250x600mm, inkl. Befestigung </v>
      </c>
      <c r="F62" s="251"/>
      <c r="G62" s="251"/>
      <c r="H62" s="251"/>
      <c r="I62" s="251"/>
      <c r="J62" s="251"/>
      <c r="K62" s="257"/>
      <c r="L62" s="96" t="str">
        <f t="shared" si="3"/>
        <v/>
      </c>
      <c r="M62" s="97"/>
      <c r="O62" s="1"/>
      <c r="P62" s="191" t="str">
        <f>ROUNDUP($A62,0) &amp;" " &amp; Formeln!$A$111</f>
        <v>0 STK</v>
      </c>
      <c r="Q62" s="191" t="str">
        <f>ROUNDUP($A62,0) &amp;" " &amp; Formeln!$A$111</f>
        <v>0 STK</v>
      </c>
      <c r="T62" s="46">
        <v>120060</v>
      </c>
      <c r="U62" s="46">
        <v>120061</v>
      </c>
      <c r="V62" s="46">
        <v>120062</v>
      </c>
      <c r="W62" s="46">
        <v>120063</v>
      </c>
      <c r="X62" s="46">
        <v>120064</v>
      </c>
      <c r="Y62" s="46">
        <v>120065</v>
      </c>
      <c r="Z62" s="46">
        <v>120066</v>
      </c>
      <c r="AA62" s="46">
        <v>120067</v>
      </c>
      <c r="AB62" s="46">
        <v>120068</v>
      </c>
      <c r="AC62" s="46">
        <v>120069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f t="shared" si="2"/>
        <v>0</v>
      </c>
      <c r="E63" s="250" t="str">
        <f>VLOOKUP("Laufsteg 250x420mm, inkl. Befestigung ",Sprachindex!A:Z,Info!$O$6,FALSE)</f>
        <v xml:space="preserve">Laufsteg 250x420mm, inkl. Befestigung </v>
      </c>
      <c r="F63" s="251"/>
      <c r="G63" s="251"/>
      <c r="H63" s="251"/>
      <c r="I63" s="251"/>
      <c r="J63" s="251"/>
      <c r="K63" s="257"/>
      <c r="L63" s="96" t="str">
        <f t="shared" si="3"/>
        <v/>
      </c>
      <c r="M63" s="97"/>
      <c r="O63" s="1"/>
      <c r="P63" s="191" t="str">
        <f>ROUNDUP($A63/4,0)*4 &amp;" " &amp; Formeln!$A$111</f>
        <v>0 STK</v>
      </c>
      <c r="Q63" s="191" t="str">
        <f>ROUNDUP($A63,0) &amp;" " &amp; Formeln!$A$111</f>
        <v>0 STK</v>
      </c>
      <c r="T63" s="46">
        <v>120010</v>
      </c>
      <c r="U63" s="46">
        <v>120011</v>
      </c>
      <c r="V63" s="46">
        <v>120012</v>
      </c>
      <c r="W63" s="46">
        <v>120013</v>
      </c>
      <c r="X63" s="46">
        <v>120014</v>
      </c>
      <c r="Y63" s="46">
        <v>120015</v>
      </c>
      <c r="Z63" s="46">
        <v>120016</v>
      </c>
      <c r="AA63" s="46">
        <v>120017</v>
      </c>
      <c r="AB63" s="46">
        <v>120018</v>
      </c>
      <c r="AC63" s="46">
        <v>120019</v>
      </c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v>649305</v>
      </c>
      <c r="E64" s="250" t="str">
        <f>VLOOKUP("Laufsteg 360x800mm, inkl. Befestigung ",Sprachindex!A:Z,Info!$O$6,FALSE)</f>
        <v xml:space="preserve">Laufsteg 360x800mm, inkl. Befestigung </v>
      </c>
      <c r="F64" s="251"/>
      <c r="G64" s="251"/>
      <c r="H64" s="251"/>
      <c r="I64" s="251"/>
      <c r="J64" s="251"/>
      <c r="K64" s="257"/>
      <c r="L64" s="96" t="str">
        <f t="shared" si="3"/>
        <v/>
      </c>
      <c r="M64" s="97"/>
      <c r="O64" s="1"/>
      <c r="P64" s="191" t="str">
        <f>ROUNDUP($A64,0) &amp;" " &amp; Formeln!$A$111</f>
        <v>0 STK</v>
      </c>
      <c r="Q64" s="191" t="str">
        <f>ROUNDUP($A64,0) &amp;" " &amp; Formeln!$A$111</f>
        <v>0 STK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STK</v>
      </c>
      <c r="C65" s="95"/>
      <c r="D65" s="95">
        <v>649306</v>
      </c>
      <c r="E65" s="250" t="str">
        <f>VLOOKUP("Laufsteg 360x1200mm, inkl. Befestigung ",Sprachindex!A:Z,Info!$O$6,FALSE)</f>
        <v xml:space="preserve">Laufsteg 360x1200mm, inkl. Befestigung </v>
      </c>
      <c r="F65" s="251"/>
      <c r="G65" s="251"/>
      <c r="H65" s="251"/>
      <c r="I65" s="251"/>
      <c r="J65" s="251"/>
      <c r="K65" s="257"/>
      <c r="L65" s="96" t="str">
        <f t="shared" si="3"/>
        <v/>
      </c>
      <c r="M65" s="97"/>
      <c r="O65" s="1"/>
      <c r="P65" s="191" t="str">
        <f>ROUNDUP($A65,0) &amp;" " &amp; Formeln!$A$111</f>
        <v>0 STK</v>
      </c>
      <c r="Q65" s="191" t="str">
        <f>ROUNDUP($A65,0) &amp;" " &amp; Formeln!$A$111</f>
        <v>0 STK</v>
      </c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39" ht="32.1" customHeight="1">
      <c r="A66" s="118"/>
      <c r="B66" s="96" t="str">
        <f>VLOOKUP("Stk",Sprachindex!A:Z,Info!$O$6,FALSE)</f>
        <v>STK</v>
      </c>
      <c r="C66" s="95"/>
      <c r="D66" s="100">
        <v>649001</v>
      </c>
      <c r="E66" s="250" t="str">
        <f>VLOOKUP("Laufstegverbinder 250mm breit",Sprachindex!A:Z,Info!$O$6,FALSE)</f>
        <v>Laufstegverbinder 250mm breit</v>
      </c>
      <c r="F66" s="251"/>
      <c r="G66" s="251"/>
      <c r="H66" s="251"/>
      <c r="I66" s="251"/>
      <c r="J66" s="251"/>
      <c r="K66" s="257"/>
      <c r="L66" s="96" t="str">
        <f t="shared" si="3"/>
        <v/>
      </c>
      <c r="M66" s="9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STK</v>
      </c>
      <c r="C67" s="95"/>
      <c r="D67" s="100">
        <v>649008</v>
      </c>
      <c r="E67" s="250" t="str">
        <f>VLOOKUP("Laufstegverbinder 360mm breit",Sprachindex!A:Z,Info!$O$6,FALSE)</f>
        <v>Laufstegverbinder 360mm breit</v>
      </c>
      <c r="F67" s="251"/>
      <c r="G67" s="251"/>
      <c r="H67" s="251"/>
      <c r="I67" s="251"/>
      <c r="J67" s="251"/>
      <c r="K67" s="257"/>
      <c r="L67" s="96" t="str">
        <f t="shared" si="3"/>
        <v/>
      </c>
      <c r="M67" s="97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</row>
    <row r="68" spans="1:39" ht="32.1" customHeight="1">
      <c r="A68" s="118"/>
      <c r="B68" s="96" t="str">
        <f>VLOOKUP("Stk",Sprachindex!A:Z,Info!$O$6,FALSE)</f>
        <v>STK</v>
      </c>
      <c r="C68" s="98"/>
      <c r="D68" s="100">
        <v>635661</v>
      </c>
      <c r="E68" s="250" t="str">
        <f>VLOOKUP("Sicherheitsdachhaken nach EN 517 B, mit Tellerfüßen",Sprachindex!A:Z,Info!$O$6,FALSE)</f>
        <v>Sicherheitsdachhaken nach EN 517 B, mit Tellerfüßen</v>
      </c>
      <c r="F68" s="251"/>
      <c r="G68" s="251"/>
      <c r="H68" s="251"/>
      <c r="I68" s="251"/>
      <c r="J68" s="251"/>
      <c r="K68" s="257"/>
      <c r="L68" s="96" t="str">
        <f t="shared" si="3"/>
        <v/>
      </c>
      <c r="M68" s="102"/>
      <c r="O68" s="1"/>
      <c r="P68" s="191" t="str">
        <f>ROUNDUP($A68,0) &amp;" " &amp; Formeln!$A$111</f>
        <v>0 STK</v>
      </c>
      <c r="Q68" s="191" t="str">
        <f>ROUNDUP($A68,0) &amp;" " &amp; Formeln!$A$111</f>
        <v>0 STK</v>
      </c>
    </row>
    <row r="69" spans="1:39" ht="32.1" customHeight="1">
      <c r="A69" s="118"/>
      <c r="B69" s="96" t="str">
        <f>VLOOKUP("Stk",Sprachindex!A:Z,Info!$O$6,FALSE)</f>
        <v>STK</v>
      </c>
      <c r="C69" s="98"/>
      <c r="D69" s="95">
        <f>IF($N$21=1,T69,IF($N$21=4,U69,IF($N$21=5,V69,IF($N$21=11,W69,IF($N$21=7,X69,IF($N$21=3,Y69,IF($N$21=6,Z69,IF($N$21=9,AA69,IF($N$21=2,AB69,IF($N$21=8,AC69,0))))))))))</f>
        <v>0</v>
      </c>
      <c r="E69" s="250" t="str">
        <f>VLOOKUP("Dachsicherheitshaken, nach DIN EN 517 B",Sprachindex!A:Z,Info!$O$6,FALSE)</f>
        <v>Dachsicherheitshaken, nach DIN EN 517 B</v>
      </c>
      <c r="F69" s="251"/>
      <c r="G69" s="251"/>
      <c r="H69" s="251"/>
      <c r="I69" s="251"/>
      <c r="J69" s="251"/>
      <c r="K69" s="257"/>
      <c r="L69" s="96" t="str">
        <f t="shared" si="3"/>
        <v/>
      </c>
      <c r="M69" s="102"/>
      <c r="O69" s="1"/>
      <c r="P69" s="191" t="str">
        <f>ROUNDUP($A69/12,0)*12 &amp;" " &amp; Formeln!$A$111</f>
        <v>0 STK</v>
      </c>
      <c r="Q69" s="191" t="str">
        <f>ROUNDUP($A69,0) &amp;" " &amp; Formeln!$A$111</f>
        <v>0 STK</v>
      </c>
      <c r="T69" s="46">
        <v>120000</v>
      </c>
      <c r="U69" s="46">
        <v>120001</v>
      </c>
      <c r="V69" s="46">
        <v>120002</v>
      </c>
      <c r="W69" s="46">
        <v>120003</v>
      </c>
      <c r="X69" s="46">
        <v>120004</v>
      </c>
      <c r="Y69" s="46">
        <v>120005</v>
      </c>
      <c r="Z69" s="46">
        <v>120006</v>
      </c>
      <c r="AA69" s="46">
        <v>120007</v>
      </c>
      <c r="AB69" s="46">
        <v>120008</v>
      </c>
      <c r="AC69" s="46">
        <v>120009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95">
        <f>IF($N$21=1,T70,IF($N$21=4,U70,IF($N$21=5,V70,IF($N$21=11,W70,IF($N$21=7,X70,IF($N$21=3,Y70,IF($N$21=6,Z70,IF($N$21=9,AA70,IF($N$21=2,AB70,IF($N$21=8,AC70,0))))))))))</f>
        <v>0</v>
      </c>
      <c r="E70" s="250" t="str">
        <f>VLOOKUP("Einfassungsplatte Dachraute 44x44",Sprachindex!A:Z,Info!$O$6,FALSE)</f>
        <v>Einfassungsplatte Dachraute 44x44</v>
      </c>
      <c r="F70" s="251"/>
      <c r="G70" s="251"/>
      <c r="H70" s="251"/>
      <c r="I70" s="251"/>
      <c r="J70" s="251"/>
      <c r="K70" s="257"/>
      <c r="L70" s="96" t="str">
        <f t="shared" ref="L70:L94" si="4">IF(A70=0,"",IF($N$11=1,P70,Q70))</f>
        <v/>
      </c>
      <c r="M70" s="102"/>
      <c r="O70" s="1"/>
      <c r="P70" s="191" t="str">
        <f>ROUNDUP($A70/2,0)*2 &amp;" " &amp; Formeln!$A$111</f>
        <v>0 STK</v>
      </c>
      <c r="Q70" s="191" t="str">
        <f>ROUNDUP($A70,0) &amp;" " &amp; Formeln!$A$111</f>
        <v>0 STK</v>
      </c>
      <c r="T70" s="46">
        <v>112321</v>
      </c>
      <c r="U70" s="46">
        <v>112322</v>
      </c>
      <c r="V70" s="46">
        <v>112323</v>
      </c>
      <c r="W70" s="46">
        <v>112324</v>
      </c>
      <c r="X70" s="46">
        <v>112325</v>
      </c>
      <c r="Y70" s="46">
        <v>112326</v>
      </c>
      <c r="Z70" s="46">
        <v>112328</v>
      </c>
      <c r="AA70" s="46">
        <v>112327</v>
      </c>
      <c r="AB70" s="46">
        <v>112329</v>
      </c>
      <c r="AC70" s="46">
        <v>112330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>IF($N$21=1,T71,IF($N$21=4,U71,IF($N$21=5,V71,IF($N$21=11,W71,IF($N$21=7,X71,IF($N$21=3,Y71,IF($N$21=6,Z71,IF($N$21=9,AA71,IF($N$21=2,AB71,IF($N$21=8,AC71,0))))))))))</f>
        <v>0</v>
      </c>
      <c r="E71" s="250" t="str">
        <f>VLOOKUP("Einfassungsplatte, zum Einfalzen",Sprachindex!A:Z,Info!$O$6,FALSE)</f>
        <v>Einfassungsplatte, zum Einfalzen</v>
      </c>
      <c r="F71" s="251"/>
      <c r="G71" s="251"/>
      <c r="H71" s="251"/>
      <c r="I71" s="251"/>
      <c r="J71" s="251"/>
      <c r="K71" s="257"/>
      <c r="L71" s="96" t="str">
        <f t="shared" si="4"/>
        <v/>
      </c>
      <c r="M71" s="102"/>
      <c r="O71" s="1"/>
      <c r="P71" s="191" t="str">
        <f>ROUNDUP($A71/5,0)*5 &amp;" " &amp; Formeln!$A$111</f>
        <v>0 STK</v>
      </c>
      <c r="Q71" s="191" t="str">
        <f>ROUNDUP($A71,0) &amp;" " &amp; Formeln!$A$111</f>
        <v>0 STK</v>
      </c>
      <c r="T71" s="46">
        <v>110230</v>
      </c>
      <c r="U71" s="46">
        <v>110231</v>
      </c>
      <c r="V71" s="46">
        <v>110232</v>
      </c>
      <c r="W71" s="46">
        <v>110233</v>
      </c>
      <c r="X71" s="46">
        <v>110234</v>
      </c>
      <c r="Y71" s="46">
        <v>110235</v>
      </c>
      <c r="Z71" s="46">
        <v>110236</v>
      </c>
      <c r="AA71" s="46">
        <v>110237</v>
      </c>
      <c r="AB71" s="46">
        <v>110238</v>
      </c>
      <c r="AC71" s="46">
        <v>110239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ref="D72:D91" si="5">IF($N$21=1,T72,IF($N$21=4,U72,IF($N$21=5,V72,IF($N$21=11,W72,IF($N$21=7,X72,IF($N$21=3,Y72,IF($N$21=6,Z72,IF($N$21=9,AA72,IF($N$21=2,AB72,IF($N$21=8,AC72,0))))))))))</f>
        <v>0</v>
      </c>
      <c r="E72" s="250" t="str">
        <f>VLOOKUP("Universaleinfassungsplatte, 2-teilig ",Sprachindex!A:Z,Info!$O$6,FALSE)</f>
        <v xml:space="preserve">Universaleinfassungsplatte, 2-teilig </v>
      </c>
      <c r="F72" s="251"/>
      <c r="G72" s="251"/>
      <c r="H72" s="251"/>
      <c r="I72" s="251"/>
      <c r="J72" s="251"/>
      <c r="K72" s="257"/>
      <c r="L72" s="96" t="str">
        <f t="shared" si="4"/>
        <v/>
      </c>
      <c r="M72" s="102"/>
      <c r="O72" s="1"/>
      <c r="P72" s="191" t="str">
        <f>ROUNDUP($A72,0) &amp;" " &amp; Formeln!$A$111</f>
        <v>0 STK</v>
      </c>
      <c r="Q72" s="191" t="str">
        <f>ROUNDUP($A72,0) &amp;" " &amp; Formeln!$A$111</f>
        <v>0 STK</v>
      </c>
      <c r="T72" s="46">
        <v>110240</v>
      </c>
      <c r="U72" s="46">
        <v>110241</v>
      </c>
      <c r="V72" s="46">
        <v>110242</v>
      </c>
      <c r="W72" s="46">
        <v>110243</v>
      </c>
      <c r="X72" s="46">
        <v>110244</v>
      </c>
      <c r="Y72" s="46">
        <v>110245</v>
      </c>
      <c r="Z72" s="46">
        <v>110246</v>
      </c>
      <c r="AA72" s="46">
        <v>110247</v>
      </c>
      <c r="AB72" s="46">
        <v>110248</v>
      </c>
      <c r="AC72" s="46">
        <v>110249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5"/>
        <v>0</v>
      </c>
      <c r="E73" s="250" t="str">
        <f>VLOOKUP("Entlüftungshaube 100",Sprachindex!A:Z,Info!$O$6,FALSE)</f>
        <v>Entlüftungshaube 100</v>
      </c>
      <c r="F73" s="251"/>
      <c r="G73" s="251"/>
      <c r="H73" s="251"/>
      <c r="I73" s="251"/>
      <c r="J73" s="251"/>
      <c r="K73" s="257"/>
      <c r="L73" s="96" t="str">
        <f t="shared" si="4"/>
        <v/>
      </c>
      <c r="M73" s="102"/>
      <c r="O73" s="1"/>
      <c r="P73" s="191" t="str">
        <f>ROUNDUP($A73,0) &amp;" " &amp; Formeln!$A$111</f>
        <v>0 STK</v>
      </c>
      <c r="Q73" s="191" t="str">
        <f>ROUNDUP($A73,0) &amp;" " &amp; Formeln!$A$111</f>
        <v>0 STK</v>
      </c>
      <c r="T73" s="46">
        <v>110280</v>
      </c>
      <c r="U73" s="46">
        <v>110281</v>
      </c>
      <c r="V73" s="46">
        <v>110282</v>
      </c>
      <c r="W73" s="46">
        <v>110283</v>
      </c>
      <c r="X73" s="46">
        <v>110284</v>
      </c>
      <c r="Y73" s="46">
        <v>110285</v>
      </c>
      <c r="Z73" s="46">
        <v>110286</v>
      </c>
      <c r="AA73" s="46">
        <v>110287</v>
      </c>
      <c r="AB73" s="46">
        <v>110288</v>
      </c>
      <c r="AC73" s="46">
        <v>110289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5"/>
        <v>0</v>
      </c>
      <c r="E74" s="250" t="str">
        <f>VLOOKUP("Entlüftungsrohr DM 100",Sprachindex!A:Z,Info!$O$6,FALSE)</f>
        <v>Entlüftungsrohr DM 100</v>
      </c>
      <c r="F74" s="251"/>
      <c r="G74" s="251"/>
      <c r="H74" s="251"/>
      <c r="I74" s="251"/>
      <c r="J74" s="251"/>
      <c r="K74" s="257"/>
      <c r="L74" s="96" t="str">
        <f t="shared" si="4"/>
        <v/>
      </c>
      <c r="M74" s="102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T74" s="46">
        <v>110200</v>
      </c>
      <c r="U74" s="46">
        <v>110201</v>
      </c>
      <c r="V74" s="46">
        <v>110202</v>
      </c>
      <c r="W74" s="46">
        <v>110203</v>
      </c>
      <c r="X74" s="46">
        <v>110204</v>
      </c>
      <c r="Y74" s="46">
        <v>110205</v>
      </c>
      <c r="Z74" s="46">
        <v>110206</v>
      </c>
      <c r="AA74" s="46">
        <v>110207</v>
      </c>
      <c r="AB74" s="46">
        <v>110208</v>
      </c>
      <c r="AC74" s="46">
        <v>121015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 t="shared" si="5"/>
        <v>0</v>
      </c>
      <c r="E75" s="250" t="str">
        <f>VLOOKUP("Entlüftungsrohr DM 120",Sprachindex!A:Z,Info!$O$6,FALSE)</f>
        <v>Entlüftungsrohr DM 120</v>
      </c>
      <c r="F75" s="251"/>
      <c r="G75" s="251"/>
      <c r="H75" s="251"/>
      <c r="I75" s="251"/>
      <c r="J75" s="251"/>
      <c r="K75" s="257"/>
      <c r="L75" s="96" t="str">
        <f t="shared" si="4"/>
        <v/>
      </c>
      <c r="M75" s="102"/>
      <c r="O75" s="1"/>
      <c r="P75" s="191" t="str">
        <f>ROUNDUP($A75,0) &amp;" " &amp; Formeln!$A$111</f>
        <v>0 STK</v>
      </c>
      <c r="Q75" s="191" t="str">
        <f>ROUNDUP($A75,0) &amp;" " &amp; Formeln!$A$111</f>
        <v>0 STK</v>
      </c>
      <c r="T75" s="46">
        <v>110210</v>
      </c>
      <c r="U75" s="46">
        <v>110211</v>
      </c>
      <c r="V75" s="46">
        <v>110212</v>
      </c>
      <c r="W75" s="46">
        <v>110213</v>
      </c>
      <c r="X75" s="46">
        <v>110214</v>
      </c>
      <c r="Y75" s="46">
        <v>110215</v>
      </c>
      <c r="Z75" s="46">
        <v>110216</v>
      </c>
      <c r="AA75" s="46">
        <v>110217</v>
      </c>
      <c r="AB75" s="46">
        <v>110218</v>
      </c>
      <c r="AC75" s="46">
        <v>121025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100">
        <v>340943</v>
      </c>
      <c r="E76" s="250" t="str">
        <f>VLOOKUP("Faltmanschette 100",Sprachindex!A:Z,Info!$O$6,FALSE)</f>
        <v>Faltmanschette 100</v>
      </c>
      <c r="F76" s="251"/>
      <c r="G76" s="251"/>
      <c r="H76" s="251"/>
      <c r="I76" s="251"/>
      <c r="J76" s="251"/>
      <c r="K76" s="257"/>
      <c r="L76" s="96" t="str">
        <f t="shared" si="4"/>
        <v/>
      </c>
      <c r="M76" s="102"/>
      <c r="O76" s="1"/>
      <c r="P76" s="191" t="str">
        <f>ROUNDUP($A76,0) &amp;" " &amp; Formeln!$A$111</f>
        <v>0 STK</v>
      </c>
      <c r="Q76" s="191" t="str">
        <f>ROUNDUP($A76,0) &amp;" " &amp; Formeln!$A$111</f>
        <v>0 STK</v>
      </c>
      <c r="T76" s="49" t="s">
        <v>29</v>
      </c>
      <c r="U76" s="49" t="s">
        <v>30</v>
      </c>
      <c r="V76" s="49" t="s">
        <v>31</v>
      </c>
      <c r="W76" s="49" t="s">
        <v>32</v>
      </c>
      <c r="X76" s="49" t="s">
        <v>33</v>
      </c>
      <c r="Y76" s="49" t="s">
        <v>34</v>
      </c>
      <c r="Z76" s="49" t="s">
        <v>35</v>
      </c>
      <c r="AA76" s="49" t="s">
        <v>36</v>
      </c>
      <c r="AB76" s="49" t="s">
        <v>37</v>
      </c>
      <c r="AC76" s="49" t="s">
        <v>38</v>
      </c>
      <c r="AD76" s="49" t="s">
        <v>29</v>
      </c>
      <c r="AE76" s="49" t="s">
        <v>30</v>
      </c>
      <c r="AF76" s="49" t="s">
        <v>31</v>
      </c>
      <c r="AG76" s="49" t="s">
        <v>32</v>
      </c>
      <c r="AH76" s="49" t="s">
        <v>33</v>
      </c>
      <c r="AI76" s="49" t="s">
        <v>34</v>
      </c>
      <c r="AJ76" s="49" t="s">
        <v>35</v>
      </c>
      <c r="AK76" s="49" t="s">
        <v>36</v>
      </c>
      <c r="AL76" s="49" t="s">
        <v>37</v>
      </c>
      <c r="AM76" s="49" t="s">
        <v>38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>IF(AND($N$9=2,$N$21=1),T77,IF(AND($N$9=2,$N$21=4),U77,IF(AND($N$9=2,$N$21=5),V77,IF(AND($N$9=2,$N$21=11),W77,IF(AND($N$9=2,$N$21=7),X77,IF(AND($N$9=2,$N$21=3),Y77,IF(AND($N$9=2,$N$21=6),Z77,IF(AND($N$9=2,$N$21=9),AA77,IF(AND($N$9=2,$N$21=2),AB77,IF(AND($N$9=2,$N$21=8),AC77,IF(AND($N$9=1,$N$21=1),AD77,IF(AND($N$9=1,$N$21=1),AD77,IF(AND($N$9=1,$N$21=4),AE77,IF(AND($N$9=1,$N$21=5),AF77,IF(AND($N$9=1,$N$21=11),AG77,IF(AND($N$9=1,$N$21=7),AH77,IF(AND($N$9=1,$N$21=3),AI77,IF(AND($N$9=1,$N$21=6),AJ77,IF(AND($N$9=1,$N$21=9),AK77,IF(AND($N$9=1,$N$21=2),AL77,IF(AND($N$9=1,$N$21=8),AM77,0)))))))))))))))))))))</f>
        <v>0</v>
      </c>
      <c r="E77" s="250" t="str">
        <f>VLOOKUP("Unterlagsplatte für DR44, DS.19",Sprachindex!A:Z,Info!$O$6,FALSE)</f>
        <v>Unterlagsplatte für DR44, DS.19</v>
      </c>
      <c r="F77" s="251"/>
      <c r="G77" s="251"/>
      <c r="H77" s="251"/>
      <c r="I77" s="251"/>
      <c r="J77" s="251"/>
      <c r="K77" s="257"/>
      <c r="L77" s="96" t="str">
        <f t="shared" si="4"/>
        <v/>
      </c>
      <c r="M77" s="102"/>
      <c r="O77" s="1"/>
      <c r="P77" s="191" t="str">
        <f>ROUNDUP($A77/10,0)*10 &amp;" " &amp; Formeln!$A$111</f>
        <v>0 STK</v>
      </c>
      <c r="Q77" s="191" t="str">
        <f>ROUNDUP($A77,0) &amp;" " &amp; Formeln!$A$111</f>
        <v>0 STK</v>
      </c>
      <c r="T77" s="46">
        <v>112381</v>
      </c>
      <c r="U77" s="46">
        <v>112382</v>
      </c>
      <c r="V77" s="46">
        <v>112383</v>
      </c>
      <c r="W77" s="46">
        <v>1123824</v>
      </c>
      <c r="X77" s="46">
        <v>112385</v>
      </c>
      <c r="Y77" s="46">
        <v>112386</v>
      </c>
      <c r="Z77" s="46">
        <v>112388</v>
      </c>
      <c r="AA77" s="46">
        <v>7</v>
      </c>
      <c r="AB77" s="46">
        <v>112389</v>
      </c>
      <c r="AD77" s="46">
        <v>112361</v>
      </c>
      <c r="AE77" s="46">
        <v>112362</v>
      </c>
      <c r="AF77" s="46">
        <v>112363</v>
      </c>
      <c r="AG77" s="46">
        <v>112364</v>
      </c>
      <c r="AH77" s="46">
        <v>112365</v>
      </c>
      <c r="AI77" s="46">
        <v>112366</v>
      </c>
      <c r="AJ77" s="46">
        <v>112368</v>
      </c>
      <c r="AK77" s="46">
        <v>122367</v>
      </c>
      <c r="AL77" s="46">
        <v>122369</v>
      </c>
      <c r="AM77" s="1">
        <v>112370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95">
        <f t="shared" si="5"/>
        <v>0</v>
      </c>
      <c r="E78" s="250" t="str">
        <f>VLOOKUP("Schneestopper für Dachraute 44 × 44",Sprachindex!A:Z,Info!$O$6,FALSE)</f>
        <v>Schneestopper für Dachraute 44 × 44</v>
      </c>
      <c r="F78" s="251"/>
      <c r="G78" s="251"/>
      <c r="H78" s="251"/>
      <c r="I78" s="251"/>
      <c r="J78" s="251"/>
      <c r="K78" s="257"/>
      <c r="L78" s="96" t="str">
        <f t="shared" si="4"/>
        <v/>
      </c>
      <c r="M78" s="102"/>
      <c r="O78" s="1"/>
      <c r="P78" s="191" t="str">
        <f>ROUNDUP($A78/100,0)*100 &amp;" " &amp; Formeln!$A$111</f>
        <v>0 STK</v>
      </c>
      <c r="Q78" s="191" t="str">
        <f>ROUNDUP($A78,0) &amp;" " &amp; Formeln!$A$111</f>
        <v>0 STK</v>
      </c>
      <c r="T78" s="46">
        <v>112341</v>
      </c>
      <c r="U78" s="46">
        <v>112342</v>
      </c>
      <c r="V78" s="46">
        <v>112343</v>
      </c>
      <c r="W78" s="46">
        <v>112344</v>
      </c>
      <c r="X78" s="46">
        <v>112345</v>
      </c>
      <c r="Y78" s="46">
        <v>112346</v>
      </c>
      <c r="Z78" s="46">
        <v>112348</v>
      </c>
      <c r="AA78" s="46">
        <v>112347</v>
      </c>
      <c r="AB78" s="46">
        <v>112349</v>
      </c>
      <c r="AC78" s="46">
        <v>112350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 t="shared" si="5"/>
        <v>0</v>
      </c>
      <c r="E79" s="250" t="str">
        <f>VLOOKUP("Haken für Schneerechensystem, inkl. Befestigungsmaterial",Sprachindex!A:Z,Info!$O$6,FALSE)</f>
        <v>Haken für Schneerechensystem, inkl. Befestigungsmaterial</v>
      </c>
      <c r="F79" s="251"/>
      <c r="G79" s="251"/>
      <c r="H79" s="251"/>
      <c r="I79" s="251"/>
      <c r="J79" s="251"/>
      <c r="K79" s="257"/>
      <c r="L79" s="96" t="str">
        <f t="shared" si="4"/>
        <v/>
      </c>
      <c r="M79" s="102"/>
      <c r="O79" s="1"/>
      <c r="P79" s="191" t="str">
        <f>ROUNDUP($A79/2,0)*2 &amp;" " &amp; Formeln!$A$111</f>
        <v>0 STK</v>
      </c>
      <c r="Q79" s="191" t="str">
        <f>ROUNDUP($A79,0) &amp;" " &amp; Formeln!$A$111</f>
        <v>0 STK</v>
      </c>
      <c r="T79" s="46">
        <v>120180</v>
      </c>
      <c r="U79" s="46">
        <v>120181</v>
      </c>
      <c r="V79" s="46">
        <v>120182</v>
      </c>
      <c r="W79" s="46">
        <v>120183</v>
      </c>
      <c r="X79" s="46">
        <v>120184</v>
      </c>
      <c r="Y79" s="46">
        <v>120185</v>
      </c>
      <c r="Z79" s="46">
        <v>120186</v>
      </c>
      <c r="AA79" s="46">
        <v>120187</v>
      </c>
      <c r="AB79" s="46">
        <v>120188</v>
      </c>
      <c r="AC79" s="46">
        <v>120189</v>
      </c>
    </row>
    <row r="80" spans="1:39" ht="32.1" customHeight="1">
      <c r="A80" s="118"/>
      <c r="B80" s="96" t="str">
        <f>VLOOKUP("lfm",Sprachindex!A:Z,Info!$O$6,FALSE)</f>
        <v>lfm</v>
      </c>
      <c r="C80" s="98"/>
      <c r="D80" s="95">
        <f t="shared" si="5"/>
        <v>0</v>
      </c>
      <c r="E80" s="250" t="str">
        <f>VLOOKUP("Einlegeprofil f.Schneerechensystem, 3m",Sprachindex!A:Z,Info!$O$6,FALSE)</f>
        <v>Einlegeprofil f.Schneerechensystem, 3m</v>
      </c>
      <c r="F80" s="251"/>
      <c r="G80" s="251"/>
      <c r="H80" s="251"/>
      <c r="I80" s="251"/>
      <c r="J80" s="251"/>
      <c r="K80" s="257"/>
      <c r="L80" s="96" t="str">
        <f t="shared" si="4"/>
        <v/>
      </c>
      <c r="M80" s="102"/>
      <c r="O80" s="1"/>
      <c r="P80" s="191" t="str">
        <f>ROUNDUP($A80/3,0)*3 &amp;" " &amp; Formeln!$A$112 &amp; "                " &amp; "(="&amp;ROUNDUP($A80/3,0) &amp; " " &amp;Formeln!$A$111 &amp; ")"</f>
        <v>0 lfm                (=0 STK)</v>
      </c>
      <c r="Q80" s="191" t="str">
        <f>ROUNDUP($A80/3,0)*3 &amp;" " &amp; Formeln!$A$112 &amp; "                " &amp; "(="&amp;ROUNDUP($A80/3,0) &amp; " " &amp;Formeln!$A$111 &amp; ")"</f>
        <v>0 lfm                (=0 STK)</v>
      </c>
      <c r="T80" s="46">
        <v>120350</v>
      </c>
      <c r="U80" s="46">
        <v>120351</v>
      </c>
      <c r="V80" s="46">
        <v>120352</v>
      </c>
      <c r="W80" s="46">
        <v>120353</v>
      </c>
      <c r="X80" s="46">
        <v>120354</v>
      </c>
      <c r="Y80" s="46">
        <v>120355</v>
      </c>
      <c r="Z80" s="46">
        <v>120356</v>
      </c>
      <c r="AA80" s="46">
        <v>120357</v>
      </c>
      <c r="AB80" s="46">
        <v>120358</v>
      </c>
      <c r="AC80" s="46">
        <v>120359</v>
      </c>
    </row>
    <row r="81" spans="1:29" ht="32.1" customHeight="1">
      <c r="A81" s="118"/>
      <c r="B81" s="96" t="str">
        <f>VLOOKUP("Stk",Sprachindex!A:Z,Info!$O$6,FALSE)</f>
        <v>STK</v>
      </c>
      <c r="C81" s="98"/>
      <c r="D81" s="95">
        <f t="shared" si="5"/>
        <v>0</v>
      </c>
      <c r="E81" s="250" t="str">
        <f>VLOOKUP("Eiskralle f. Einlegeprofil",Sprachindex!A:Z,Info!$O$6,FALSE)</f>
        <v>Eiskralle f. Einlegeprofil</v>
      </c>
      <c r="F81" s="251"/>
      <c r="G81" s="251"/>
      <c r="H81" s="251"/>
      <c r="I81" s="251"/>
      <c r="J81" s="251"/>
      <c r="K81" s="257"/>
      <c r="L81" s="96" t="str">
        <f t="shared" si="4"/>
        <v/>
      </c>
      <c r="M81" s="102"/>
      <c r="O81" s="1"/>
      <c r="P81" s="191" t="str">
        <f>ROUNDUP($A81/100,0)*100 &amp;" " &amp; Formeln!$A$111</f>
        <v>0 STK</v>
      </c>
      <c r="Q81" s="191" t="str">
        <f>ROUNDUP($A81,0) &amp;" " &amp; Formeln!$A$111</f>
        <v>0 STK</v>
      </c>
      <c r="T81" s="46">
        <v>120700</v>
      </c>
      <c r="U81" s="46">
        <v>120701</v>
      </c>
      <c r="V81" s="46">
        <v>120702</v>
      </c>
      <c r="W81" s="46">
        <v>120703</v>
      </c>
      <c r="X81" s="46">
        <v>120704</v>
      </c>
      <c r="Y81" s="46">
        <v>120705</v>
      </c>
      <c r="Z81" s="46">
        <v>120706</v>
      </c>
      <c r="AA81" s="46">
        <v>120707</v>
      </c>
      <c r="AB81" s="46">
        <v>120708</v>
      </c>
      <c r="AC81" s="46">
        <v>120709</v>
      </c>
    </row>
    <row r="82" spans="1:29" ht="32.1" customHeight="1">
      <c r="A82" s="118"/>
      <c r="B82" s="96" t="str">
        <f>VLOOKUP("Stk",Sprachindex!A:Z,Info!$O$6,FALSE)</f>
        <v>STK</v>
      </c>
      <c r="C82" s="98"/>
      <c r="D82" s="95">
        <f t="shared" si="5"/>
        <v>0</v>
      </c>
      <c r="E82" s="250" t="str">
        <f>VLOOKUP("Abschluss f. Schneerechensystem",Sprachindex!A:Z,Info!$O$6,FALSE)</f>
        <v>Abschluss f. Schneerechensystem</v>
      </c>
      <c r="F82" s="251"/>
      <c r="G82" s="251"/>
      <c r="H82" s="251"/>
      <c r="I82" s="251"/>
      <c r="J82" s="251"/>
      <c r="K82" s="257"/>
      <c r="L82" s="96" t="str">
        <f t="shared" si="4"/>
        <v/>
      </c>
      <c r="M82" s="102"/>
      <c r="O82" s="1"/>
      <c r="P82" s="191" t="str">
        <f>ROUNDUP($A82/2,0)*2 &amp;" " &amp; Formeln!$A$111</f>
        <v>0 STK</v>
      </c>
      <c r="Q82" s="191" t="str">
        <f>ROUNDUP($A82,0) &amp;" " &amp; Formeln!$A$111</f>
        <v>0 STK</v>
      </c>
      <c r="T82" s="46">
        <v>120390</v>
      </c>
      <c r="U82" s="46">
        <v>120391</v>
      </c>
      <c r="V82" s="46">
        <v>120392</v>
      </c>
      <c r="W82" s="46">
        <v>120393</v>
      </c>
      <c r="X82" s="46">
        <v>120394</v>
      </c>
      <c r="Y82" s="46">
        <v>120395</v>
      </c>
      <c r="Z82" s="46">
        <v>120396</v>
      </c>
      <c r="AA82" s="46">
        <v>120397</v>
      </c>
      <c r="AB82" s="46">
        <v>120398</v>
      </c>
      <c r="AC82" s="46">
        <v>120399</v>
      </c>
    </row>
    <row r="83" spans="1:29" ht="32.1" customHeight="1">
      <c r="A83" s="118"/>
      <c r="B83" s="96" t="str">
        <f>VLOOKUP("Stk",Sprachindex!A:Z,Info!$O$6,FALSE)</f>
        <v>STK</v>
      </c>
      <c r="C83" s="98"/>
      <c r="D83" s="95">
        <f t="shared" si="5"/>
        <v>0</v>
      </c>
      <c r="E83" s="250" t="str">
        <f>VLOOKUP("Gebirgsschneefangstütze, inkl. Befestigungsmaterial",Sprachindex!A:Z,Info!$O$6,FALSE)</f>
        <v>Gebirgsschneefangstütze, inkl. Befestigungsmaterial</v>
      </c>
      <c r="F83" s="251"/>
      <c r="G83" s="251"/>
      <c r="H83" s="251"/>
      <c r="I83" s="251"/>
      <c r="J83" s="251"/>
      <c r="K83" s="257"/>
      <c r="L83" s="96" t="str">
        <f t="shared" si="4"/>
        <v/>
      </c>
      <c r="M83" s="102"/>
      <c r="O83" s="1"/>
      <c r="P83" s="191" t="str">
        <f>ROUNDUP($A83/2,0)*2 &amp;" " &amp; Formeln!$A$111</f>
        <v>0 STK</v>
      </c>
      <c r="Q83" s="191" t="str">
        <f>ROUNDUP($A83,0) &amp;" " &amp; Formeln!$A$111</f>
        <v>0 STK</v>
      </c>
      <c r="T83" s="46">
        <v>120150</v>
      </c>
      <c r="U83" s="46">
        <v>120151</v>
      </c>
      <c r="V83" s="46">
        <v>120152</v>
      </c>
      <c r="W83" s="46">
        <v>120153</v>
      </c>
      <c r="X83" s="46">
        <v>120154</v>
      </c>
      <c r="Y83" s="46">
        <v>120155</v>
      </c>
      <c r="Z83" s="46">
        <v>120156</v>
      </c>
      <c r="AA83" s="46">
        <v>120157</v>
      </c>
      <c r="AB83" s="46">
        <v>120158</v>
      </c>
      <c r="AC83" s="46">
        <v>120159</v>
      </c>
    </row>
    <row r="84" spans="1:29" ht="32.1" customHeight="1">
      <c r="A84" s="118"/>
      <c r="B84" s="96" t="str">
        <f>VLOOKUP("Stk",Sprachindex!A:Z,Info!$O$6,FALSE)</f>
        <v>STK</v>
      </c>
      <c r="C84" s="98"/>
      <c r="D84" s="95">
        <f t="shared" si="5"/>
        <v>0</v>
      </c>
      <c r="E84" s="250" t="str">
        <f>VLOOKUP("Kaminhut, inkl. Kaminstreben, 700x700mm",Sprachindex!A:Z,Info!$O$6,FALSE)</f>
        <v>Kaminhut, inkl. Kaminstreben, 700x700mm</v>
      </c>
      <c r="F84" s="251"/>
      <c r="G84" s="251"/>
      <c r="H84" s="251"/>
      <c r="I84" s="251"/>
      <c r="J84" s="251"/>
      <c r="K84" s="257"/>
      <c r="L84" s="96" t="str">
        <f t="shared" si="4"/>
        <v/>
      </c>
      <c r="M84" s="102"/>
      <c r="O84" s="1"/>
      <c r="P84" s="191" t="str">
        <f>ROUNDUP($A84,0) &amp;" " &amp; Formeln!$A$111</f>
        <v>0 STK</v>
      </c>
      <c r="Q84" s="191" t="str">
        <f>ROUNDUP($A84,0) &amp;" " &amp; Formeln!$A$111</f>
        <v>0 STK</v>
      </c>
      <c r="T84" s="46">
        <v>110420</v>
      </c>
      <c r="U84" s="46">
        <v>110421</v>
      </c>
      <c r="V84" s="46">
        <v>110422</v>
      </c>
      <c r="W84" s="46">
        <v>110423</v>
      </c>
      <c r="X84" s="46">
        <v>110424</v>
      </c>
      <c r="Y84" s="46">
        <v>110425</v>
      </c>
      <c r="Z84" s="46">
        <v>110426</v>
      </c>
      <c r="AA84" s="46">
        <v>110427</v>
      </c>
      <c r="AB84" s="46">
        <v>110428</v>
      </c>
      <c r="AC84" s="46">
        <v>110429</v>
      </c>
    </row>
    <row r="85" spans="1:29" ht="32.1" customHeight="1">
      <c r="A85" s="118"/>
      <c r="B85" s="96" t="str">
        <f>VLOOKUP("Stk",Sprachindex!A:Z,Info!$O$6,FALSE)</f>
        <v>STK</v>
      </c>
      <c r="C85" s="98"/>
      <c r="D85" s="95">
        <f t="shared" si="5"/>
        <v>0</v>
      </c>
      <c r="E85" s="250" t="str">
        <f>VLOOKUP("Kaminhut, inkl. Kaminstreben, 800x800mm",Sprachindex!A:Z,Info!$O$6,FALSE)</f>
        <v>Kaminhut, inkl. Kaminstreben, 800x800mm</v>
      </c>
      <c r="F85" s="251"/>
      <c r="G85" s="251"/>
      <c r="H85" s="251"/>
      <c r="I85" s="251"/>
      <c r="J85" s="251"/>
      <c r="K85" s="257"/>
      <c r="L85" s="96" t="str">
        <f t="shared" si="4"/>
        <v/>
      </c>
      <c r="M85" s="102"/>
      <c r="O85" s="1"/>
      <c r="P85" s="191" t="str">
        <f>ROUNDUP($A85,0) &amp;" " &amp; Formeln!$A$111</f>
        <v>0 STK</v>
      </c>
      <c r="Q85" s="191" t="str">
        <f>ROUNDUP($A85,0) &amp;" " &amp; Formeln!$A$111</f>
        <v>0 STK</v>
      </c>
      <c r="T85" s="46">
        <v>110430</v>
      </c>
      <c r="U85" s="46">
        <v>110431</v>
      </c>
      <c r="V85" s="46">
        <v>110432</v>
      </c>
      <c r="W85" s="46">
        <v>110433</v>
      </c>
      <c r="X85" s="46">
        <v>110434</v>
      </c>
      <c r="Y85" s="46">
        <v>110435</v>
      </c>
      <c r="Z85" s="46">
        <v>110436</v>
      </c>
      <c r="AA85" s="46">
        <v>110437</v>
      </c>
      <c r="AB85" s="46">
        <v>110438</v>
      </c>
      <c r="AC85" s="46">
        <v>110439</v>
      </c>
    </row>
    <row r="86" spans="1:29" ht="32.1" customHeight="1">
      <c r="A86" s="118"/>
      <c r="B86" s="96" t="str">
        <f>VLOOKUP("Stk",Sprachindex!A:Z,Info!$O$6,FALSE)</f>
        <v>STK</v>
      </c>
      <c r="C86" s="98"/>
      <c r="D86" s="95">
        <f t="shared" si="5"/>
        <v>0</v>
      </c>
      <c r="E86" s="250" t="str">
        <f>VLOOKUP("Kaminhut, inkl. Kaminstreben, 1000x700mm",Sprachindex!A:Z,Info!$O$6,FALSE)</f>
        <v>Kaminhut, inkl. Kaminstreben, 1000x700mm</v>
      </c>
      <c r="F86" s="251"/>
      <c r="G86" s="251"/>
      <c r="H86" s="251"/>
      <c r="I86" s="251"/>
      <c r="J86" s="251"/>
      <c r="K86" s="257"/>
      <c r="L86" s="96" t="str">
        <f t="shared" si="4"/>
        <v/>
      </c>
      <c r="M86" s="102"/>
      <c r="O86" s="1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110440</v>
      </c>
      <c r="U86" s="46">
        <v>110441</v>
      </c>
      <c r="V86" s="46">
        <v>110442</v>
      </c>
      <c r="W86" s="46">
        <v>110443</v>
      </c>
      <c r="X86" s="46">
        <v>110444</v>
      </c>
      <c r="Y86" s="46">
        <v>110445</v>
      </c>
      <c r="Z86" s="46">
        <v>110446</v>
      </c>
      <c r="AA86" s="46">
        <v>110447</v>
      </c>
      <c r="AB86" s="46">
        <v>110448</v>
      </c>
      <c r="AC86" s="46">
        <v>110449</v>
      </c>
    </row>
    <row r="87" spans="1:29" ht="32.1" customHeight="1">
      <c r="A87" s="118"/>
      <c r="B87" s="96" t="str">
        <f>VLOOKUP("Stk",Sprachindex!A:Z,Info!$O$6,FALSE)</f>
        <v>STK</v>
      </c>
      <c r="C87" s="98"/>
      <c r="D87" s="95">
        <f t="shared" si="5"/>
        <v>0</v>
      </c>
      <c r="E87" s="250" t="str">
        <f>VLOOKUP("Kaminhut, inkl. Kaminstreben, 1100x800mm",Sprachindex!A:Z,Info!$O$6,FALSE)</f>
        <v>Kaminhut, inkl. Kaminstreben, 1100x800mm</v>
      </c>
      <c r="F87" s="251"/>
      <c r="G87" s="251"/>
      <c r="H87" s="251"/>
      <c r="I87" s="251"/>
      <c r="J87" s="251"/>
      <c r="K87" s="257"/>
      <c r="L87" s="96" t="str">
        <f t="shared" si="4"/>
        <v/>
      </c>
      <c r="M87" s="102"/>
      <c r="O87" s="1"/>
      <c r="P87" s="191" t="str">
        <f>ROUNDUP($A87,0) &amp;" " &amp; Formeln!$A$111</f>
        <v>0 STK</v>
      </c>
      <c r="Q87" s="191" t="str">
        <f>ROUNDUP($A87,0) &amp;" " &amp; Formeln!$A$111</f>
        <v>0 STK</v>
      </c>
      <c r="T87" s="46">
        <v>110450</v>
      </c>
      <c r="U87" s="46">
        <v>110451</v>
      </c>
      <c r="V87" s="46">
        <v>110452</v>
      </c>
      <c r="W87" s="46">
        <v>110453</v>
      </c>
      <c r="X87" s="46">
        <v>110454</v>
      </c>
      <c r="Y87" s="46">
        <v>110455</v>
      </c>
      <c r="Z87" s="46">
        <v>110456</v>
      </c>
      <c r="AA87" s="46">
        <v>110457</v>
      </c>
      <c r="AB87" s="46">
        <v>110458</v>
      </c>
      <c r="AC87" s="46">
        <v>110459</v>
      </c>
    </row>
    <row r="88" spans="1:29" ht="32.1" customHeight="1">
      <c r="A88" s="118"/>
      <c r="B88" s="96" t="str">
        <f>VLOOKUP("Stk",Sprachindex!A:Z,Info!$O$6,FALSE)</f>
        <v>STK</v>
      </c>
      <c r="C88" s="98"/>
      <c r="D88" s="95">
        <f t="shared" si="5"/>
        <v>0</v>
      </c>
      <c r="E88" s="250" t="str">
        <f>VLOOKUP("Kaminhut, inkl. Kaminstreben, 1500x800mm",Sprachindex!A:Z,Info!$O$6,FALSE)</f>
        <v>Kaminhut, inkl. Kaminstreben, 1500x800mm</v>
      </c>
      <c r="F88" s="251"/>
      <c r="G88" s="251"/>
      <c r="H88" s="251"/>
      <c r="I88" s="251"/>
      <c r="J88" s="251"/>
      <c r="K88" s="257"/>
      <c r="L88" s="96" t="str">
        <f t="shared" si="4"/>
        <v/>
      </c>
      <c r="M88" s="102"/>
      <c r="O88" s="1"/>
      <c r="P88" s="191" t="str">
        <f>ROUNDUP($A88,0) &amp;" " &amp; Formeln!$A$111</f>
        <v>0 STK</v>
      </c>
      <c r="Q88" s="191" t="str">
        <f>ROUNDUP($A88,0) &amp;" " &amp; Formeln!$A$111</f>
        <v>0 STK</v>
      </c>
      <c r="T88" s="46">
        <v>110460</v>
      </c>
      <c r="U88" s="46">
        <v>110461</v>
      </c>
      <c r="V88" s="46">
        <v>110462</v>
      </c>
      <c r="W88" s="46">
        <v>110463</v>
      </c>
      <c r="X88" s="46">
        <v>110464</v>
      </c>
      <c r="Y88" s="46">
        <v>110465</v>
      </c>
      <c r="Z88" s="46">
        <v>110466</v>
      </c>
      <c r="AA88" s="46">
        <v>110467</v>
      </c>
      <c r="AB88" s="46">
        <v>110468</v>
      </c>
      <c r="AC88" s="46">
        <v>110469</v>
      </c>
    </row>
    <row r="89" spans="1:29" ht="32.1" customHeight="1">
      <c r="A89" s="118"/>
      <c r="B89" s="96" t="str">
        <f>VLOOKUP("Stk",Sprachindex!A:Z,Info!$O$6,FALSE)</f>
        <v>STK</v>
      </c>
      <c r="C89" s="98"/>
      <c r="D89" s="95">
        <f t="shared" si="5"/>
        <v>0</v>
      </c>
      <c r="E89" s="250" t="str">
        <f>VLOOKUP("Kaminstreben, gebogen",Sprachindex!A:Z,Info!$O$6,FALSE)</f>
        <v>Kaminstreben, gebogen</v>
      </c>
      <c r="F89" s="251"/>
      <c r="G89" s="251"/>
      <c r="H89" s="251"/>
      <c r="I89" s="251"/>
      <c r="J89" s="251"/>
      <c r="K89" s="257"/>
      <c r="L89" s="96" t="str">
        <f t="shared" si="4"/>
        <v/>
      </c>
      <c r="M89" s="102"/>
      <c r="O89" s="1"/>
      <c r="P89" s="191" t="str">
        <f>ROUNDUP($A89/10,0)*10 &amp;" " &amp; Formeln!$A$111</f>
        <v>0 STK</v>
      </c>
      <c r="Q89" s="191" t="str">
        <f>ROUNDUP($A89,0) &amp;" " &amp; Formeln!$A$111</f>
        <v>0 STK</v>
      </c>
      <c r="T89" s="46">
        <v>110410</v>
      </c>
      <c r="U89" s="46">
        <v>110411</v>
      </c>
      <c r="V89" s="46">
        <v>110412</v>
      </c>
      <c r="W89" s="46">
        <v>110413</v>
      </c>
      <c r="X89" s="46">
        <v>110414</v>
      </c>
      <c r="Y89" s="46">
        <v>110415</v>
      </c>
      <c r="Z89" s="46">
        <v>110416</v>
      </c>
      <c r="AA89" s="46">
        <v>110417</v>
      </c>
      <c r="AB89" s="46">
        <v>110418</v>
      </c>
      <c r="AC89" s="46">
        <v>110419</v>
      </c>
    </row>
    <row r="90" spans="1:29" ht="32.1" customHeight="1">
      <c r="A90" s="118"/>
      <c r="B90" s="96" t="str">
        <f>VLOOKUP("lfm",Sprachindex!A:Z,Info!$O$6,FALSE)</f>
        <v>lfm</v>
      </c>
      <c r="C90" s="98"/>
      <c r="D90" s="95">
        <f t="shared" si="5"/>
        <v>0</v>
      </c>
      <c r="E90" s="250" t="str">
        <f>VLOOKUP("Kaminstreben, 7x35x3000mm",Sprachindex!A:Z,Info!$O$6,FALSE)</f>
        <v>Kaminstreben, 7x35x3000mm</v>
      </c>
      <c r="F90" s="251"/>
      <c r="G90" s="251"/>
      <c r="H90" s="251"/>
      <c r="I90" s="251"/>
      <c r="J90" s="251"/>
      <c r="K90" s="257"/>
      <c r="L90" s="96" t="str">
        <f t="shared" si="4"/>
        <v/>
      </c>
      <c r="M90" s="102"/>
      <c r="O90" s="1"/>
      <c r="P90" s="191" t="str">
        <f>ROUNDUP($A90/3,0)*3 &amp;" " &amp; Formeln!$A$112 &amp; "                " &amp; "(="&amp;ROUNDUP($A90/3,0) &amp; " " &amp;Formeln!$A$111 &amp; ")"</f>
        <v>0 lfm                (=0 STK)</v>
      </c>
      <c r="Q90" s="191" t="str">
        <f>ROUNDUP($A90/3,0)*3 &amp;" " &amp; Formeln!$A$112 &amp; "                " &amp; "(="&amp;ROUNDUP($A90/3,0) &amp; " " &amp;Formeln!$A$111 &amp; ")"</f>
        <v>0 lfm                (=0 STK)</v>
      </c>
      <c r="T90" s="46">
        <v>110400</v>
      </c>
      <c r="U90" s="46">
        <v>110401</v>
      </c>
      <c r="V90" s="46">
        <v>110402</v>
      </c>
      <c r="W90" s="46">
        <v>110403</v>
      </c>
      <c r="X90" s="46">
        <v>110404</v>
      </c>
      <c r="Y90" s="46">
        <v>110405</v>
      </c>
      <c r="Z90" s="46">
        <v>110406</v>
      </c>
      <c r="AA90" s="46">
        <v>110407</v>
      </c>
      <c r="AB90" s="46">
        <v>110408</v>
      </c>
      <c r="AC90" s="140" t="s">
        <v>50</v>
      </c>
    </row>
    <row r="91" spans="1:29" ht="32.1" customHeight="1">
      <c r="A91" s="118"/>
      <c r="B91" s="96" t="str">
        <f>VLOOKUP("Stk",Sprachindex!A:Z,Info!$O$6,FALSE)</f>
        <v>STK</v>
      </c>
      <c r="C91" s="98"/>
      <c r="D91" s="95">
        <f t="shared" si="5"/>
        <v>0</v>
      </c>
      <c r="E91" s="250" t="str">
        <f>VLOOKUP("Hauerbuckel ",Sprachindex!A:Z,Info!$O$6,FALSE)</f>
        <v xml:space="preserve">Hauerbuckel </v>
      </c>
      <c r="F91" s="251"/>
      <c r="G91" s="251"/>
      <c r="H91" s="251"/>
      <c r="I91" s="251"/>
      <c r="J91" s="251"/>
      <c r="K91" s="257"/>
      <c r="L91" s="96" t="str">
        <f t="shared" si="4"/>
        <v/>
      </c>
      <c r="M91" s="102"/>
      <c r="O91" s="1"/>
      <c r="P91" s="191" t="str">
        <f>ROUNDUP($A91,0) &amp;" " &amp; Formeln!$A$111</f>
        <v>0 STK</v>
      </c>
      <c r="Q91" s="191" t="str">
        <f>ROUNDUP($A91,0) &amp;" " &amp; Formeln!$A$111</f>
        <v>0 STK</v>
      </c>
      <c r="T91" s="46">
        <v>112401</v>
      </c>
      <c r="U91" s="46">
        <v>112402</v>
      </c>
      <c r="V91" s="46">
        <v>112403</v>
      </c>
      <c r="W91" s="46">
        <v>112404</v>
      </c>
      <c r="X91" s="46">
        <v>112405</v>
      </c>
      <c r="Y91" s="46">
        <v>112406</v>
      </c>
      <c r="Z91" s="46">
        <v>112407</v>
      </c>
      <c r="AA91" s="46">
        <v>112408</v>
      </c>
      <c r="AB91" s="46">
        <v>112409</v>
      </c>
      <c r="AC91" s="46">
        <v>112410</v>
      </c>
    </row>
    <row r="92" spans="1:29" ht="32.1" customHeight="1">
      <c r="A92" s="118"/>
      <c r="B92" s="96" t="str">
        <f>VLOOKUP("Stk",Sprachindex!A:Z,Info!$O$6,FALSE)</f>
        <v>STK</v>
      </c>
      <c r="C92" s="98"/>
      <c r="D92" s="95">
        <v>340404</v>
      </c>
      <c r="E92" s="250" t="str">
        <f>VLOOKUP("Dachleitungshalter für Blitzschutzdraht",Sprachindex!A:Z,Info!$O$6,FALSE)</f>
        <v>Dachleitungshalter für Blitzschutzdraht</v>
      </c>
      <c r="F92" s="251"/>
      <c r="G92" s="251"/>
      <c r="H92" s="251"/>
      <c r="I92" s="251"/>
      <c r="J92" s="251"/>
      <c r="K92" s="257"/>
      <c r="L92" s="96" t="str">
        <f t="shared" si="4"/>
        <v/>
      </c>
      <c r="M92" s="102"/>
      <c r="O92" s="1"/>
      <c r="P92" s="191" t="str">
        <f>ROUNDUP($A92/50,0)*50 &amp;" " &amp; Formeln!$A$111</f>
        <v>0 STK</v>
      </c>
      <c r="Q92" s="191" t="str">
        <f>ROUNDUP($A92,0) &amp;" " &amp; Formeln!$A$111</f>
        <v>0 STK</v>
      </c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32.1" customHeight="1">
      <c r="A93" s="118"/>
      <c r="B93" s="96" t="str">
        <f>VLOOKUP("Stk",Sprachindex!A:Z,Info!$O$6,FALSE)</f>
        <v>STK</v>
      </c>
      <c r="C93" s="95"/>
      <c r="D93" s="95">
        <v>420501</v>
      </c>
      <c r="E93" s="258" t="str">
        <f>VLOOKUP("Spezialkleber",Sprachindex!A:Z,Info!$O$6,FALSE)</f>
        <v>Spezialkleber</v>
      </c>
      <c r="F93" s="259"/>
      <c r="G93" s="259"/>
      <c r="H93" s="259"/>
      <c r="I93" s="259"/>
      <c r="J93" s="259"/>
      <c r="K93" s="260"/>
      <c r="L93" s="96" t="str">
        <f t="shared" si="4"/>
        <v/>
      </c>
      <c r="M93" s="102"/>
      <c r="O93" s="1"/>
      <c r="P93" s="191" t="str">
        <f>ROUNDUP($A93,0) &amp;" " &amp; Formeln!$A$111</f>
        <v>0 STK</v>
      </c>
      <c r="Q93" s="191" t="str">
        <f>ROUNDUP($A93,0) &amp;" " &amp; Formeln!$A$111</f>
        <v>0 STK</v>
      </c>
    </row>
    <row r="94" spans="1:29" ht="32.1" customHeight="1">
      <c r="A94" s="118"/>
      <c r="B94" s="96" t="str">
        <f>VLOOKUP("Set",Sprachindex!A:Z,Info!$O$6,FALSE)</f>
        <v>Set</v>
      </c>
      <c r="C94" s="98"/>
      <c r="D94" s="95">
        <v>420500</v>
      </c>
      <c r="E94" s="250" t="str">
        <f>VLOOKUP("Spezialkleber-Set",Sprachindex!A:Z,Info!$O$6,FALSE)</f>
        <v>Spezialkleber-Set</v>
      </c>
      <c r="F94" s="251"/>
      <c r="G94" s="251"/>
      <c r="H94" s="251"/>
      <c r="I94" s="251"/>
      <c r="J94" s="251"/>
      <c r="K94" s="257"/>
      <c r="L94" s="96" t="str">
        <f t="shared" si="4"/>
        <v/>
      </c>
      <c r="M94" s="102"/>
      <c r="O94" s="1"/>
      <c r="P94" s="191" t="str">
        <f>ROUNDUP($A94,0) &amp;" " &amp; IF($A94&lt;=1,Formeln!$A$119,IF($A94&gt;1,Formeln!$A$120,""))</f>
        <v>0 Set</v>
      </c>
      <c r="Q94" s="191" t="str">
        <f>ROUNDUP($A94,0) &amp;" " &amp; IF($A94&lt;=1,Formeln!$A$119,IF($A94&gt;1,Formeln!$A$120,""))</f>
        <v>0 Set</v>
      </c>
    </row>
    <row r="95" spans="1:29" ht="32.1" customHeight="1">
      <c r="A95" s="126"/>
      <c r="B95" s="96" t="str">
        <f>VLOOKUP("Stk",Sprachindex!A:Z,Info!$O$6,FALSE)</f>
        <v>STK</v>
      </c>
      <c r="C95" s="95"/>
      <c r="D95" s="95">
        <v>340415</v>
      </c>
      <c r="E95" s="292" t="str">
        <f>VLOOKUP("SDH Schraubensatz f.Aufsparrendäm.",Sprachindex!A:Z,Info!$O$6,FALSE)</f>
        <v>SDH Schraubensatz f.Aufsparrendäm.</v>
      </c>
      <c r="F95" s="292"/>
      <c r="G95" s="292"/>
      <c r="H95" s="292"/>
      <c r="I95" s="292"/>
      <c r="J95" s="292"/>
      <c r="K95" s="292"/>
      <c r="L95" s="96" t="str">
        <f>IF($A95=0,"",IF($N$11=1,P95,Q95))</f>
        <v/>
      </c>
      <c r="M95" s="102"/>
      <c r="O95" s="1"/>
      <c r="P95" s="191" t="str">
        <f>ROUNDUP($A95,0) &amp;" " &amp; Formeln!$A$111</f>
        <v>0 STK</v>
      </c>
      <c r="Q95" s="191" t="str">
        <f>ROUNDUP($A95,0) &amp;" " &amp; Formeln!$A$111</f>
        <v>0 STK</v>
      </c>
    </row>
    <row r="96" spans="1:29" ht="32.1" customHeight="1">
      <c r="A96" s="126"/>
      <c r="B96" s="96" t="str">
        <f>VLOOKUP("Stk",Sprachindex!A:Z,Info!$O$6,FALSE)</f>
        <v>STK</v>
      </c>
      <c r="C96" s="95"/>
      <c r="D96" s="95">
        <v>340416</v>
      </c>
      <c r="E96" s="292" t="str">
        <f>VLOOKUP("SDH Bohrsatz,für Aufsparrendämmung",Sprachindex!A:Z,Info!$O$6,FALSE)</f>
        <v>SDH Bohrsatz,für Aufsparrendämmung</v>
      </c>
      <c r="F96" s="292"/>
      <c r="G96" s="292"/>
      <c r="H96" s="292"/>
      <c r="I96" s="292"/>
      <c r="J96" s="292"/>
      <c r="K96" s="292"/>
      <c r="L96" s="96" t="str">
        <f>IF($A96=0,"",IF($N$11=1,P96,Q96))</f>
        <v/>
      </c>
      <c r="M96" s="102"/>
      <c r="O96" s="1"/>
      <c r="P96" s="191" t="str">
        <f>ROUNDUP($A96,0) &amp;" " &amp; Formeln!$A$111</f>
        <v>0 STK</v>
      </c>
      <c r="Q96" s="191" t="str">
        <f>ROUNDUP($A96,0) &amp;" " &amp; Formeln!$A$111</f>
        <v>0 STK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IF(I97=Formeln!A104,X97,IF(I97=Formeln!A105,T97,IF(I97=Formeln!A106,U97,IF(I97=Formeln!A107,V97,IF(I97=Formeln!A108,W97,0)))))</f>
        <v>0</v>
      </c>
      <c r="E97" s="265" t="str">
        <f>VLOOKUP("Lochblech, 0,70x1000mm
in Rollen zu 24kg ",Sprachindex!A:Z,Info!$O$6,FALSE)</f>
        <v xml:space="preserve">Lochblech, 0,70x1000mm
in Rollen zu 24kg </v>
      </c>
      <c r="F97" s="266"/>
      <c r="G97" s="266"/>
      <c r="H97" s="266"/>
      <c r="I97" s="252"/>
      <c r="J97" s="267"/>
      <c r="K97" s="267"/>
      <c r="L97" s="183" t="str">
        <f>IF($A97=0,"",IF($I97=Formeln!$A$103," ",IF($N$11=1,P97,Q97)))</f>
        <v/>
      </c>
      <c r="M97" s="102"/>
      <c r="O97" s="1"/>
      <c r="P97" s="191" t="str">
        <f>ROUNDUP($A97/24,0)*24 &amp; " " &amp; Formeln!$A$114 &amp; "        " &amp; "(="&amp;ROUNDUP($A97/24,0) &amp; " " &amp;R97&amp; ")"</f>
        <v>0 kg        (=0 Rolle)</v>
      </c>
      <c r="Q97" s="191" t="str">
        <f>ROUNDUP($A97,0) &amp; " " &amp; Formeln!$A$114 &amp; "        " &amp; "(="&amp;ROUNDUP($A97/24,1) &amp; " " &amp;R97&amp; ")"</f>
        <v>0 kg        (=0 Rolle)</v>
      </c>
      <c r="R97" s="8" t="str">
        <f>IF(A97&gt;24, Formeln!A116, Formeln!A115)</f>
        <v>Rolle</v>
      </c>
      <c r="T97" s="46">
        <v>507202</v>
      </c>
      <c r="U97" s="46">
        <v>507203</v>
      </c>
      <c r="V97" s="46">
        <v>507204</v>
      </c>
      <c r="W97" s="46">
        <v>507205</v>
      </c>
      <c r="X97" s="46">
        <v>507206</v>
      </c>
    </row>
    <row r="98" spans="1:39" ht="50.1" customHeight="1">
      <c r="A98" s="118"/>
      <c r="B98" s="96" t="str">
        <f>VLOOKUP("kg",Sprachindex!A:Z,Info!$O$6,FALSE)</f>
        <v>kg</v>
      </c>
      <c r="C98" s="98"/>
      <c r="D98" s="98">
        <f>IF(AND(I98=Formeln!A21,K98=Formeln!A126),T98,IF(AND(I98=Formeln!A21,K98=Formeln!A129),U98,IF(AND(I98=Formeln!A21,K98=Formeln!A131),V98,IF(AND(I98=Formeln!A21,K98=Formeln!A129),AE98,IF(AND(I98=Formeln!A21,K98=Formeln!A125),W98,IF(AND(I98=Formeln!A21,K98=Formeln!A134),X98,IF(AND(I98=Formeln!A21,K98=Formeln!A128),Y98,IF(AND(I98=Formeln!A21,K98=Formeln!A132),Z98,IF(AND(I98=Formeln!A21,K98=Formeln!A130),AA98,IF(AND(I98=Formeln!A21,K98=Formeln!A127),AB98,IF(AND(I98=Formeln!A21,K98=Formeln!A133),AC98,IF(AND(I98=Formeln!A22,K98=Formeln!A126),AD98,IF(AND(I98=Formeln!A22,K98=Formeln!A129),AE98,IF(AND(I98=Formeln!A22,K98=Formeln!A131),AF98,IF(AND(I98=Formeln!A22,K98=Formeln!A129),AE98,IF(AND(I98=Formeln!A22,K98=Formeln!A125),AG98,IF(AND(I98=Formeln!A22,K98=Formeln!A134),AH98,IF(AND(I98=Formeln!A22,K98=Formeln!A128),AI98,IF(AND(I98=Formeln!A22,K98=Formeln!A132),AJ98,IF(AND(I98=Formeln!A22,K98=Formeln!A130),AK98,IF(AND(I98=Formeln!A22,K98=Formeln!A127),AL98,IF(AND(I98=Formeln!A22,K98=Formeln!A133),AM98,0))))))))))))))))))))))</f>
        <v>0</v>
      </c>
      <c r="E98" s="250" t="str">
        <f>VLOOKUP("PREFALZ 0.7x1000 stucco, in Rollen zu 60kg",Sprachindex!A:Z,Info!$O$6,FALSE)</f>
        <v>PREFALZ 0.7x1000 stucco, in Rollen zu 60kg</v>
      </c>
      <c r="F98" s="251"/>
      <c r="G98" s="251"/>
      <c r="H98" s="103" t="str">
        <f>VLOOKUP("Oberfläche:",Sprachindex!A:Z,Info!$O$6,FALSE)</f>
        <v>Oberfläche:</v>
      </c>
      <c r="I98" s="104"/>
      <c r="J98" s="101" t="str">
        <f>VLOOKUP("Farbe:",Sprachindex!A:Z,Info!$O$6,FALSE)</f>
        <v>Farbe:</v>
      </c>
      <c r="K98" s="104"/>
      <c r="L98" s="183" t="str">
        <f>IF($A98=0,"",IF(OR($I98=Formeln!$A$20,$K98=Formeln!$A$124)," ",IF($N$11=1,P98,Q98)))</f>
        <v/>
      </c>
      <c r="M98" s="102"/>
      <c r="O98" s="1"/>
      <c r="P98" s="208" t="str">
        <f>ROUNDUP($A98/60,0)*60 &amp; " " &amp; Formeln!$A$114 &amp; "        " &amp; "(="&amp;ROUNDUP($A98/60,0) &amp; " " &amp;R98&amp; ")"</f>
        <v>0 kg        (=0 Rolle)</v>
      </c>
      <c r="Q98" s="208" t="str">
        <f>ROUNDUP($A98,0) &amp; " " &amp; Formeln!$A$114 &amp; "        " &amp; "(="&amp;ROUNDUP($A98/60,1) &amp; " " &amp;R98&amp; ")"</f>
        <v>0 kg        (=0 Rolle)</v>
      </c>
      <c r="R98" s="8" t="str">
        <f>IF(A98&gt;60, Formeln!A116, Formeln!A115)</f>
        <v>Rolle</v>
      </c>
      <c r="T98" s="140" t="s">
        <v>51</v>
      </c>
      <c r="U98" s="140" t="s">
        <v>52</v>
      </c>
      <c r="V98" s="140" t="s">
        <v>53</v>
      </c>
      <c r="W98" s="140" t="s">
        <v>54</v>
      </c>
      <c r="X98" s="140" t="s">
        <v>55</v>
      </c>
      <c r="Y98" s="140" t="s">
        <v>56</v>
      </c>
      <c r="Z98" s="140" t="s">
        <v>57</v>
      </c>
      <c r="AA98" s="140" t="s">
        <v>58</v>
      </c>
      <c r="AB98" s="140" t="s">
        <v>59</v>
      </c>
      <c r="AC98" s="140" t="s">
        <v>60</v>
      </c>
      <c r="AD98" s="140" t="s">
        <v>61</v>
      </c>
      <c r="AE98" s="140" t="s">
        <v>62</v>
      </c>
      <c r="AF98" s="140" t="s">
        <v>63</v>
      </c>
      <c r="AG98" s="140" t="s">
        <v>64</v>
      </c>
      <c r="AH98" s="140" t="s">
        <v>65</v>
      </c>
      <c r="AI98" s="140" t="s">
        <v>66</v>
      </c>
      <c r="AJ98" s="140" t="s">
        <v>67</v>
      </c>
      <c r="AK98" s="140" t="s">
        <v>68</v>
      </c>
      <c r="AL98" s="140" t="s">
        <v>69</v>
      </c>
      <c r="AM98" s="140" t="s">
        <v>70</v>
      </c>
    </row>
    <row r="99" spans="1:39" ht="32.1" customHeight="1">
      <c r="A99" s="195"/>
      <c r="B99" s="196"/>
      <c r="C99" s="196"/>
      <c r="D99" s="196"/>
      <c r="E99" s="268"/>
      <c r="F99" s="269"/>
      <c r="G99" s="269"/>
      <c r="H99" s="269"/>
      <c r="I99" s="269"/>
      <c r="J99" s="269"/>
      <c r="K99" s="270"/>
      <c r="L99" s="196"/>
      <c r="M99" s="197"/>
      <c r="O99" s="1"/>
      <c r="P99" s="8"/>
      <c r="Q99" s="8"/>
    </row>
    <row r="100" spans="1:39" ht="32.1" customHeight="1">
      <c r="A100" s="195"/>
      <c r="B100" s="196"/>
      <c r="C100" s="196"/>
      <c r="D100" s="196"/>
      <c r="E100" s="268"/>
      <c r="F100" s="269"/>
      <c r="G100" s="269"/>
      <c r="H100" s="269"/>
      <c r="I100" s="269"/>
      <c r="J100" s="269"/>
      <c r="K100" s="270"/>
      <c r="L100" s="196"/>
      <c r="M100" s="197"/>
      <c r="O100" s="1"/>
      <c r="P100" s="8"/>
      <c r="Q100" s="8"/>
    </row>
    <row r="101" spans="1:39" ht="32.1" customHeight="1" thickBot="1">
      <c r="A101" s="198"/>
      <c r="B101" s="199"/>
      <c r="C101" s="199"/>
      <c r="D101" s="199"/>
      <c r="E101" s="271"/>
      <c r="F101" s="272"/>
      <c r="G101" s="272"/>
      <c r="H101" s="272"/>
      <c r="I101" s="272"/>
      <c r="J101" s="272"/>
      <c r="K101" s="273"/>
      <c r="L101" s="199"/>
      <c r="M101" s="200"/>
      <c r="O101" s="1"/>
      <c r="P101" s="8"/>
      <c r="Q101" s="8"/>
    </row>
    <row r="102" spans="1:39" ht="15" customHeight="1">
      <c r="A102" s="86"/>
      <c r="B102" s="86"/>
      <c r="C102" s="8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</row>
    <row r="103" spans="1:39" ht="17.399999999999999">
      <c r="A103" s="86"/>
      <c r="B103" s="86"/>
      <c r="C103" s="108" t="str">
        <f>VLOOKUP("Zusatzvermerk:",Sprachindex!A:Z,Info!$O$6,FALSE)</f>
        <v>Zusatzvermerk:</v>
      </c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</row>
    <row r="104" spans="1:39" ht="17.399999999999999">
      <c r="A104" s="86"/>
      <c r="B104" s="86"/>
      <c r="C104" s="86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</row>
    <row r="105" spans="1:39" ht="17.399999999999999">
      <c r="A105" s="86"/>
      <c r="B105" s="86"/>
      <c r="C105" s="86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</row>
    <row r="106" spans="1:39" ht="17.399999999999999">
      <c r="A106" s="86"/>
      <c r="B106" s="86"/>
      <c r="C106" s="86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</row>
    <row r="107" spans="1:39" ht="17.399999999999999">
      <c r="A107" s="86"/>
      <c r="B107" s="86"/>
      <c r="C107" s="86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</row>
    <row r="108" spans="1:39" ht="17.399999999999999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1:39" ht="17.399999999999999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</row>
    <row r="110" spans="1:39" ht="17.399999999999999">
      <c r="A110" s="109" t="str">
        <f>VLOOKUP("Anwendungstechnik",Sprachindex!A:Z,Info!$O$6,FALSE)</f>
        <v>Anwendungstechnik</v>
      </c>
      <c r="B110" s="110"/>
      <c r="C110" s="110"/>
      <c r="D110" s="264"/>
      <c r="E110" s="264"/>
      <c r="F110" s="264"/>
      <c r="G110" s="264"/>
      <c r="H110" s="264"/>
      <c r="I110" s="264"/>
      <c r="J110" s="264"/>
      <c r="K110" s="111" t="str">
        <f>VLOOKUP("Stand:",Sprachindex!A:Z,Info!$O$6,FALSE)</f>
        <v>Stand:</v>
      </c>
      <c r="L110" s="277">
        <v>44546</v>
      </c>
      <c r="M110" s="278"/>
    </row>
    <row r="111" spans="1:39" ht="13.8"/>
    <row r="112" spans="1:39" ht="13.8" hidden="1"/>
    <row r="113" ht="13.8" hidden="1"/>
    <row r="114" ht="13.8" hidden="1"/>
    <row r="115" ht="13.8" hidden="1"/>
    <row r="116" ht="13.8" hidden="1"/>
    <row r="117" ht="13.8" hidden="1"/>
    <row r="118" ht="13.8" hidden="1"/>
    <row r="119" ht="13.8" hidden="1"/>
    <row r="120" ht="14.25" hidden="1" customHeight="1"/>
    <row r="121" ht="14.25" hidden="1" customHeight="1"/>
    <row r="122" ht="14.25" hidden="1" customHeight="1"/>
  </sheetData>
  <sheetProtection password="8D71" sheet="1" objects="1" scenarios="1" selectLockedCells="1" autoFilter="0"/>
  <protectedRanges>
    <protectedRange password="DEBF" sqref="R97:R98" name="darf vom Benutzer nicht verändert werden_1_12"/>
    <protectedRange password="DEBF" sqref="P99:Q101" name="darf vom Benutzer nicht verändert werden_1_5_10"/>
    <protectedRange password="DEBF" sqref="P31" name="darf vom Benutzer nicht verändert werden_1_5_2_2_2_1_1"/>
    <protectedRange password="DEBF" sqref="P34 P32:Q33" name="darf vom Benutzer nicht verändert werden_1_5_2_10"/>
    <protectedRange password="DEBF" sqref="Q34" name="darf vom Benutzer nicht verändert werden_1_3"/>
    <protectedRange password="DEBF" sqref="Q35" name="darf vom Benutzer nicht verändert werden_1_1_1"/>
    <protectedRange password="DEBF" sqref="P35" name="darf vom Benutzer nicht verändert werden_1_4_1"/>
    <protectedRange password="DEBF" sqref="Q36" name="darf vom Benutzer nicht verändert werden_1_2_2"/>
    <protectedRange password="DEBF" sqref="P36" name="darf vom Benutzer nicht verändert werden_1_5_2_5_2"/>
    <protectedRange password="DEBF" sqref="Q38" name="darf vom Benutzer nicht verändert werden_1_2_3"/>
    <protectedRange password="DEBF" sqref="P38 P37:Q37 P39:Q53" name="darf vom Benutzer nicht verändert werden_1_5_12"/>
    <protectedRange password="DEBF" sqref="P54:Q69" name="darf vom Benutzer nicht verändert werden_1_5_13"/>
    <protectedRange password="DEBF" sqref="P70:Q70" name="darf vom Benutzer nicht verändert werden_1_5_14"/>
    <protectedRange password="DEBF" sqref="P71:Q71" name="darf vom Benutzer nicht verändert werden_1_5_15"/>
    <protectedRange password="DEBF" sqref="P72:Q76" name="darf vom Benutzer nicht verändert werden_1_5_16"/>
    <protectedRange password="DEBF" sqref="P77:Q77" name="darf vom Benutzer nicht verändert werden_1_5_15_1"/>
    <protectedRange password="DEBF" sqref="P78:Q78" name="darf vom Benutzer nicht verändert werden_1_5_17"/>
    <protectedRange password="DEBF" sqref="P79:Q93" name="darf vom Benutzer nicht verändert werden_1_5_18"/>
    <protectedRange password="DEBF" sqref="P95:Q98" name="darf vom Benutzer nicht verändert werden_1_5_19"/>
    <protectedRange password="DEBF" sqref="P94:Q94" name="darf vom Benutzer nicht verändert werden_1_5"/>
  </protectedRanges>
  <autoFilter ref="A29:A101" xr:uid="{00000000-0009-0000-0000-000005000000}"/>
  <mergeCells count="110">
    <mergeCell ref="P29:Q29"/>
    <mergeCell ref="E97:H97"/>
    <mergeCell ref="I97:K97"/>
    <mergeCell ref="E83:K83"/>
    <mergeCell ref="E96:K96"/>
    <mergeCell ref="D110:J110"/>
    <mergeCell ref="E98:G98"/>
    <mergeCell ref="E99:K99"/>
    <mergeCell ref="E100:K100"/>
    <mergeCell ref="E101:K101"/>
    <mergeCell ref="D106:M107"/>
    <mergeCell ref="D104:M105"/>
    <mergeCell ref="D102:M103"/>
    <mergeCell ref="L110:M110"/>
    <mergeCell ref="E92:K92"/>
    <mergeCell ref="E95:K95"/>
    <mergeCell ref="E94:K94"/>
    <mergeCell ref="E89:K89"/>
    <mergeCell ref="E86:K86"/>
    <mergeCell ref="E87:K87"/>
    <mergeCell ref="E85:K85"/>
    <mergeCell ref="E88:K88"/>
    <mergeCell ref="E84:K84"/>
    <mergeCell ref="E71:K71"/>
    <mergeCell ref="E81:K81"/>
    <mergeCell ref="E60:K60"/>
    <mergeCell ref="E74:K74"/>
    <mergeCell ref="E75:K75"/>
    <mergeCell ref="E76:K76"/>
    <mergeCell ref="E77:K77"/>
    <mergeCell ref="E78:K78"/>
    <mergeCell ref="E79:K79"/>
    <mergeCell ref="E80:K80"/>
    <mergeCell ref="E72:K72"/>
    <mergeCell ref="E73:K73"/>
    <mergeCell ref="E69:K69"/>
    <mergeCell ref="E59:K59"/>
    <mergeCell ref="E64:K64"/>
    <mergeCell ref="E61:K61"/>
    <mergeCell ref="E62:K62"/>
    <mergeCell ref="E63:K63"/>
    <mergeCell ref="E66:K66"/>
    <mergeCell ref="E68:K68"/>
    <mergeCell ref="E65:K65"/>
    <mergeCell ref="E67:K67"/>
    <mergeCell ref="K5:M5"/>
    <mergeCell ref="K4:M4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C24:E24"/>
    <mergeCell ref="I24:K24"/>
    <mergeCell ref="C25:E25"/>
    <mergeCell ref="B24:B27"/>
    <mergeCell ref="K6:M6"/>
    <mergeCell ref="I25:K25"/>
    <mergeCell ref="C26:E26"/>
    <mergeCell ref="E55:H55"/>
    <mergeCell ref="J55:K55"/>
    <mergeCell ref="E57:K57"/>
    <mergeCell ref="E58:K58"/>
    <mergeCell ref="E42:K42"/>
    <mergeCell ref="E34:K34"/>
    <mergeCell ref="E35:G35"/>
    <mergeCell ref="H35:K35"/>
    <mergeCell ref="E36:G36"/>
    <mergeCell ref="H36:K36"/>
    <mergeCell ref="E37:K37"/>
    <mergeCell ref="E38:G38"/>
    <mergeCell ref="H38:K38"/>
    <mergeCell ref="E39:K39"/>
    <mergeCell ref="E40:K40"/>
    <mergeCell ref="E51:K51"/>
    <mergeCell ref="E52:K52"/>
    <mergeCell ref="I26:K26"/>
    <mergeCell ref="C27:E27"/>
    <mergeCell ref="K7:M7"/>
    <mergeCell ref="E56:H56"/>
    <mergeCell ref="J56:K56"/>
    <mergeCell ref="E91:K91"/>
    <mergeCell ref="E93:K93"/>
    <mergeCell ref="E41:K41"/>
    <mergeCell ref="E48:G48"/>
    <mergeCell ref="H48:K48"/>
    <mergeCell ref="E50:K50"/>
    <mergeCell ref="E54:H54"/>
    <mergeCell ref="J54:K54"/>
    <mergeCell ref="E49:G49"/>
    <mergeCell ref="H49:K49"/>
    <mergeCell ref="E53:K53"/>
    <mergeCell ref="E43:K43"/>
    <mergeCell ref="E44:K44"/>
    <mergeCell ref="E45:K45"/>
    <mergeCell ref="E46:K46"/>
    <mergeCell ref="E47:K47"/>
    <mergeCell ref="E70:K70"/>
    <mergeCell ref="E90:K90"/>
    <mergeCell ref="E82:K82"/>
  </mergeCells>
  <conditionalFormatting sqref="J21:K22">
    <cfRule type="expression" dxfId="1665" priority="739">
      <formula>$N$21=10</formula>
    </cfRule>
  </conditionalFormatting>
  <conditionalFormatting sqref="I21:I22 I28">
    <cfRule type="expression" dxfId="1664" priority="740">
      <formula>$N$21=10</formula>
    </cfRule>
  </conditionalFormatting>
  <conditionalFormatting sqref="C9:E9">
    <cfRule type="cellIs" dxfId="1663" priority="724" operator="equal">
      <formula>""</formula>
    </cfRule>
  </conditionalFormatting>
  <conditionalFormatting sqref="C10:E10">
    <cfRule type="cellIs" dxfId="1662" priority="723" operator="equal">
      <formula>""</formula>
    </cfRule>
  </conditionalFormatting>
  <conditionalFormatting sqref="C11:E11">
    <cfRule type="cellIs" dxfId="1661" priority="722" operator="equal">
      <formula>""</formula>
    </cfRule>
  </conditionalFormatting>
  <conditionalFormatting sqref="C13:E13">
    <cfRule type="cellIs" dxfId="1660" priority="721" operator="equal">
      <formula>""</formula>
    </cfRule>
  </conditionalFormatting>
  <conditionalFormatting sqref="C14:E14">
    <cfRule type="cellIs" dxfId="1659" priority="720" operator="equal">
      <formula>""</formula>
    </cfRule>
  </conditionalFormatting>
  <conditionalFormatting sqref="C15:E15">
    <cfRule type="cellIs" dxfId="1658" priority="719" operator="equal">
      <formula>""</formula>
    </cfRule>
  </conditionalFormatting>
  <conditionalFormatting sqref="C18:E18">
    <cfRule type="cellIs" dxfId="1657" priority="718" operator="equal">
      <formula>""</formula>
    </cfRule>
  </conditionalFormatting>
  <conditionalFormatting sqref="C19:E19">
    <cfRule type="cellIs" dxfId="1656" priority="717" operator="equal">
      <formula>""</formula>
    </cfRule>
  </conditionalFormatting>
  <conditionalFormatting sqref="C20:E20">
    <cfRule type="cellIs" dxfId="1655" priority="716" operator="equal">
      <formula>""</formula>
    </cfRule>
  </conditionalFormatting>
  <conditionalFormatting sqref="C21:E21">
    <cfRule type="cellIs" dxfId="1654" priority="715" operator="equal">
      <formula>""</formula>
    </cfRule>
  </conditionalFormatting>
  <conditionalFormatting sqref="A31">
    <cfRule type="cellIs" dxfId="1653" priority="710" operator="equal">
      <formula>""</formula>
    </cfRule>
  </conditionalFormatting>
  <conditionalFormatting sqref="A32">
    <cfRule type="cellIs" dxfId="1652" priority="709" operator="equal">
      <formula>""</formula>
    </cfRule>
  </conditionalFormatting>
  <conditionalFormatting sqref="A33">
    <cfRule type="cellIs" dxfId="1651" priority="708" operator="equal">
      <formula>""</formula>
    </cfRule>
  </conditionalFormatting>
  <conditionalFormatting sqref="A34">
    <cfRule type="cellIs" dxfId="1650" priority="707" operator="equal">
      <formula>""</formula>
    </cfRule>
  </conditionalFormatting>
  <conditionalFormatting sqref="A35">
    <cfRule type="cellIs" dxfId="1649" priority="706" operator="equal">
      <formula>""</formula>
    </cfRule>
  </conditionalFormatting>
  <conditionalFormatting sqref="A36">
    <cfRule type="cellIs" dxfId="1648" priority="705" operator="equal">
      <formula>""</formula>
    </cfRule>
  </conditionalFormatting>
  <conditionalFormatting sqref="A37">
    <cfRule type="cellIs" dxfId="1647" priority="704" operator="equal">
      <formula>""</formula>
    </cfRule>
  </conditionalFormatting>
  <conditionalFormatting sqref="A38">
    <cfRule type="cellIs" dxfId="1646" priority="703" operator="equal">
      <formula>""</formula>
    </cfRule>
  </conditionalFormatting>
  <conditionalFormatting sqref="A39">
    <cfRule type="cellIs" dxfId="1645" priority="702" operator="equal">
      <formula>""</formula>
    </cfRule>
  </conditionalFormatting>
  <conditionalFormatting sqref="A40">
    <cfRule type="cellIs" dxfId="1644" priority="701" operator="equal">
      <formula>""</formula>
    </cfRule>
  </conditionalFormatting>
  <conditionalFormatting sqref="A41">
    <cfRule type="cellIs" dxfId="1643" priority="700" operator="equal">
      <formula>""</formula>
    </cfRule>
  </conditionalFormatting>
  <conditionalFormatting sqref="A42">
    <cfRule type="cellIs" dxfId="1642" priority="699" operator="equal">
      <formula>""</formula>
    </cfRule>
  </conditionalFormatting>
  <conditionalFormatting sqref="A43">
    <cfRule type="cellIs" dxfId="1641" priority="698" operator="equal">
      <formula>""</formula>
    </cfRule>
  </conditionalFormatting>
  <conditionalFormatting sqref="A44">
    <cfRule type="cellIs" dxfId="1640" priority="697" operator="equal">
      <formula>""</formula>
    </cfRule>
  </conditionalFormatting>
  <conditionalFormatting sqref="A45">
    <cfRule type="cellIs" dxfId="1639" priority="696" operator="equal">
      <formula>""</formula>
    </cfRule>
  </conditionalFormatting>
  <conditionalFormatting sqref="A46">
    <cfRule type="cellIs" dxfId="1638" priority="695" operator="equal">
      <formula>""</formula>
    </cfRule>
  </conditionalFormatting>
  <conditionalFormatting sqref="A86">
    <cfRule type="cellIs" dxfId="1637" priority="659" operator="equal">
      <formula>""</formula>
    </cfRule>
  </conditionalFormatting>
  <conditionalFormatting sqref="A87">
    <cfRule type="cellIs" dxfId="1636" priority="658" operator="equal">
      <formula>""</formula>
    </cfRule>
  </conditionalFormatting>
  <conditionalFormatting sqref="A50:A52">
    <cfRule type="cellIs" dxfId="1635" priority="692" operator="equal">
      <formula>""</formula>
    </cfRule>
  </conditionalFormatting>
  <conditionalFormatting sqref="D101">
    <cfRule type="cellIs" dxfId="1634" priority="593" operator="equal">
      <formula>""</formula>
    </cfRule>
  </conditionalFormatting>
  <conditionalFormatting sqref="A57">
    <cfRule type="cellIs" dxfId="1633" priority="686" operator="equal">
      <formula>""</formula>
    </cfRule>
  </conditionalFormatting>
  <conditionalFormatting sqref="A63">
    <cfRule type="cellIs" dxfId="1632" priority="681" operator="equal">
      <formula>""</formula>
    </cfRule>
  </conditionalFormatting>
  <conditionalFormatting sqref="A60">
    <cfRule type="cellIs" dxfId="1631" priority="684" operator="equal">
      <formula>""</formula>
    </cfRule>
  </conditionalFormatting>
  <conditionalFormatting sqref="A61">
    <cfRule type="cellIs" dxfId="1630" priority="683" operator="equal">
      <formula>""</formula>
    </cfRule>
  </conditionalFormatting>
  <conditionalFormatting sqref="A62">
    <cfRule type="cellIs" dxfId="1629" priority="682" operator="equal">
      <formula>""</formula>
    </cfRule>
  </conditionalFormatting>
  <conditionalFormatting sqref="A68">
    <cfRule type="cellIs" dxfId="1628" priority="679" operator="equal">
      <formula>""</formula>
    </cfRule>
  </conditionalFormatting>
  <conditionalFormatting sqref="A72">
    <cfRule type="cellIs" dxfId="1627" priority="676" operator="equal">
      <formula>""</formula>
    </cfRule>
  </conditionalFormatting>
  <conditionalFormatting sqref="A73">
    <cfRule type="cellIs" dxfId="1626" priority="675" operator="equal">
      <formula>""</formula>
    </cfRule>
  </conditionalFormatting>
  <conditionalFormatting sqref="A70">
    <cfRule type="cellIs" dxfId="1625" priority="678" operator="equal">
      <formula>""</formula>
    </cfRule>
  </conditionalFormatting>
  <conditionalFormatting sqref="A69">
    <cfRule type="cellIs" dxfId="1624" priority="677" operator="equal">
      <formula>""</formula>
    </cfRule>
  </conditionalFormatting>
  <conditionalFormatting sqref="A74">
    <cfRule type="cellIs" dxfId="1623" priority="674" operator="equal">
      <formula>""</formula>
    </cfRule>
  </conditionalFormatting>
  <conditionalFormatting sqref="A75">
    <cfRule type="cellIs" dxfId="1622" priority="673" operator="equal">
      <formula>""</formula>
    </cfRule>
  </conditionalFormatting>
  <conditionalFormatting sqref="A76">
    <cfRule type="cellIs" dxfId="1621" priority="672" operator="equal">
      <formula>""</formula>
    </cfRule>
  </conditionalFormatting>
  <conditionalFormatting sqref="A77">
    <cfRule type="cellIs" dxfId="1620" priority="671" operator="equal">
      <formula>""</formula>
    </cfRule>
  </conditionalFormatting>
  <conditionalFormatting sqref="A78">
    <cfRule type="cellIs" dxfId="1619" priority="670" operator="equal">
      <formula>""</formula>
    </cfRule>
  </conditionalFormatting>
  <conditionalFormatting sqref="A79">
    <cfRule type="cellIs" dxfId="1618" priority="666" operator="equal">
      <formula>""</formula>
    </cfRule>
  </conditionalFormatting>
  <conditionalFormatting sqref="A81">
    <cfRule type="cellIs" dxfId="1617" priority="665" operator="equal">
      <formula>""</formula>
    </cfRule>
  </conditionalFormatting>
  <conditionalFormatting sqref="A80">
    <cfRule type="cellIs" dxfId="1616" priority="664" operator="equal">
      <formula>""</formula>
    </cfRule>
  </conditionalFormatting>
  <conditionalFormatting sqref="A82">
    <cfRule type="cellIs" dxfId="1615" priority="663" operator="equal">
      <formula>""</formula>
    </cfRule>
  </conditionalFormatting>
  <conditionalFormatting sqref="A84">
    <cfRule type="cellIs" dxfId="1614" priority="662" operator="equal">
      <formula>""</formula>
    </cfRule>
  </conditionalFormatting>
  <conditionalFormatting sqref="A83">
    <cfRule type="cellIs" dxfId="1613" priority="661" operator="equal">
      <formula>""</formula>
    </cfRule>
  </conditionalFormatting>
  <conditionalFormatting sqref="A85">
    <cfRule type="cellIs" dxfId="1612" priority="660" operator="equal">
      <formula>""</formula>
    </cfRule>
  </conditionalFormatting>
  <conditionalFormatting sqref="A88">
    <cfRule type="cellIs" dxfId="1611" priority="657" operator="equal">
      <formula>""</formula>
    </cfRule>
  </conditionalFormatting>
  <conditionalFormatting sqref="A89">
    <cfRule type="cellIs" dxfId="1610" priority="656" operator="equal">
      <formula>""</formula>
    </cfRule>
  </conditionalFormatting>
  <conditionalFormatting sqref="A90">
    <cfRule type="cellIs" dxfId="1609" priority="655" operator="equal">
      <formula>""</formula>
    </cfRule>
  </conditionalFormatting>
  <conditionalFormatting sqref="A91">
    <cfRule type="cellIs" dxfId="1608" priority="654" operator="equal">
      <formula>""</formula>
    </cfRule>
  </conditionalFormatting>
  <conditionalFormatting sqref="A93">
    <cfRule type="cellIs" dxfId="1607" priority="653" operator="equal">
      <formula>""</formula>
    </cfRule>
  </conditionalFormatting>
  <conditionalFormatting sqref="A94">
    <cfRule type="cellIs" dxfId="1606" priority="652" operator="equal">
      <formula>""</formula>
    </cfRule>
  </conditionalFormatting>
  <conditionalFormatting sqref="A97">
    <cfRule type="cellIs" dxfId="1605" priority="651" operator="equal">
      <formula>""</formula>
    </cfRule>
  </conditionalFormatting>
  <conditionalFormatting sqref="A98">
    <cfRule type="cellIs" dxfId="1604" priority="650" operator="equal">
      <formula>""</formula>
    </cfRule>
  </conditionalFormatting>
  <conditionalFormatting sqref="A99">
    <cfRule type="cellIs" dxfId="1603" priority="648" operator="equal">
      <formula>""</formula>
    </cfRule>
  </conditionalFormatting>
  <conditionalFormatting sqref="A100">
    <cfRule type="cellIs" dxfId="1602" priority="647" operator="equal">
      <formula>""</formula>
    </cfRule>
  </conditionalFormatting>
  <conditionalFormatting sqref="A101">
    <cfRule type="cellIs" dxfId="1601" priority="646" operator="equal">
      <formula>""</formula>
    </cfRule>
  </conditionalFormatting>
  <conditionalFormatting sqref="B100">
    <cfRule type="cellIs" dxfId="1600" priority="645" operator="equal">
      <formula>""</formula>
    </cfRule>
  </conditionalFormatting>
  <conditionalFormatting sqref="B99">
    <cfRule type="cellIs" dxfId="1599" priority="644" operator="equal">
      <formula>""</formula>
    </cfRule>
  </conditionalFormatting>
  <conditionalFormatting sqref="B101">
    <cfRule type="cellIs" dxfId="1598" priority="643" operator="equal">
      <formula>""</formula>
    </cfRule>
  </conditionalFormatting>
  <conditionalFormatting sqref="C101">
    <cfRule type="cellIs" dxfId="1597" priority="642" operator="equal">
      <formula>""</formula>
    </cfRule>
  </conditionalFormatting>
  <conditionalFormatting sqref="C100">
    <cfRule type="cellIs" dxfId="1596" priority="641" operator="equal">
      <formula>""</formula>
    </cfRule>
  </conditionalFormatting>
  <conditionalFormatting sqref="C99">
    <cfRule type="cellIs" dxfId="1595" priority="640" operator="equal">
      <formula>""</formula>
    </cfRule>
  </conditionalFormatting>
  <conditionalFormatting sqref="E99">
    <cfRule type="cellIs" dxfId="1594" priority="639" operator="equal">
      <formula>""</formula>
    </cfRule>
  </conditionalFormatting>
  <conditionalFormatting sqref="E100">
    <cfRule type="cellIs" dxfId="1593" priority="638" operator="equal">
      <formula>""</formula>
    </cfRule>
  </conditionalFormatting>
  <conditionalFormatting sqref="E101">
    <cfRule type="cellIs" dxfId="1592" priority="637" operator="equal">
      <formula>""</formula>
    </cfRule>
  </conditionalFormatting>
  <conditionalFormatting sqref="L101">
    <cfRule type="cellIs" dxfId="1591" priority="636" operator="equal">
      <formula>""</formula>
    </cfRule>
  </conditionalFormatting>
  <conditionalFormatting sqref="L100">
    <cfRule type="cellIs" dxfId="1590" priority="635" operator="equal">
      <formula>""</formula>
    </cfRule>
  </conditionalFormatting>
  <conditionalFormatting sqref="L99">
    <cfRule type="cellIs" dxfId="1589" priority="634" operator="equal">
      <formula>""</formula>
    </cfRule>
  </conditionalFormatting>
  <conditionalFormatting sqref="M99">
    <cfRule type="cellIs" dxfId="1588" priority="633" operator="equal">
      <formula>""</formula>
    </cfRule>
  </conditionalFormatting>
  <conditionalFormatting sqref="M100">
    <cfRule type="cellIs" dxfId="1587" priority="632" operator="equal">
      <formula>""</formula>
    </cfRule>
  </conditionalFormatting>
  <conditionalFormatting sqref="M101">
    <cfRule type="cellIs" dxfId="1586" priority="631" operator="equal">
      <formula>""</formula>
    </cfRule>
  </conditionalFormatting>
  <conditionalFormatting sqref="D99">
    <cfRule type="cellIs" dxfId="1585" priority="591" operator="equal">
      <formula>""</formula>
    </cfRule>
  </conditionalFormatting>
  <conditionalFormatting sqref="D100">
    <cfRule type="cellIs" dxfId="1584" priority="592" operator="equal">
      <formula>""</formula>
    </cfRule>
  </conditionalFormatting>
  <conditionalFormatting sqref="T32:AB32">
    <cfRule type="duplicateValues" dxfId="1583" priority="585"/>
  </conditionalFormatting>
  <conditionalFormatting sqref="AC32">
    <cfRule type="duplicateValues" dxfId="1582" priority="584"/>
  </conditionalFormatting>
  <conditionalFormatting sqref="AM32">
    <cfRule type="duplicateValues" dxfId="1581" priority="583"/>
  </conditionalFormatting>
  <conditionalFormatting sqref="AD32:AL32">
    <cfRule type="duplicateValues" dxfId="1580" priority="582"/>
  </conditionalFormatting>
  <conditionalFormatting sqref="T31:AB31">
    <cfRule type="duplicateValues" dxfId="1579" priority="581"/>
  </conditionalFormatting>
  <conditionalFormatting sqref="AC31">
    <cfRule type="duplicateValues" dxfId="1578" priority="580"/>
  </conditionalFormatting>
  <conditionalFormatting sqref="AM31">
    <cfRule type="duplicateValues" dxfId="1577" priority="579"/>
  </conditionalFormatting>
  <conditionalFormatting sqref="AD31:AL31">
    <cfRule type="duplicateValues" dxfId="1576" priority="1495"/>
  </conditionalFormatting>
  <conditionalFormatting sqref="AC33">
    <cfRule type="duplicateValues" dxfId="1575" priority="577"/>
  </conditionalFormatting>
  <conditionalFormatting sqref="AM33">
    <cfRule type="duplicateValues" dxfId="1574" priority="576"/>
  </conditionalFormatting>
  <conditionalFormatting sqref="T33:AB33">
    <cfRule type="duplicateValues" dxfId="1573" priority="575"/>
  </conditionalFormatting>
  <conditionalFormatting sqref="AD33:AL33">
    <cfRule type="duplicateValues" dxfId="1572" priority="574"/>
  </conditionalFormatting>
  <conditionalFormatting sqref="D68">
    <cfRule type="duplicateValues" dxfId="1571" priority="462"/>
  </conditionalFormatting>
  <conditionalFormatting sqref="T69:AB69">
    <cfRule type="duplicateValues" dxfId="1570" priority="452"/>
  </conditionalFormatting>
  <conditionalFormatting sqref="AC70">
    <cfRule type="duplicateValues" dxfId="1569" priority="451"/>
  </conditionalFormatting>
  <conditionalFormatting sqref="T70:AB70">
    <cfRule type="duplicateValues" dxfId="1568" priority="450"/>
  </conditionalFormatting>
  <conditionalFormatting sqref="D76">
    <cfRule type="duplicateValues" dxfId="1567" priority="441"/>
  </conditionalFormatting>
  <conditionalFormatting sqref="AC78">
    <cfRule type="duplicateValues" dxfId="1566" priority="440"/>
  </conditionalFormatting>
  <conditionalFormatting sqref="T78:AB78">
    <cfRule type="duplicateValues" dxfId="1565" priority="439"/>
  </conditionalFormatting>
  <conditionalFormatting sqref="T92:AB92">
    <cfRule type="duplicateValues" dxfId="1564" priority="415"/>
  </conditionalFormatting>
  <conditionalFormatting sqref="AC92">
    <cfRule type="duplicateValues" dxfId="1563" priority="414"/>
  </conditionalFormatting>
  <conditionalFormatting sqref="T97:X97">
    <cfRule type="duplicateValues" dxfId="1562" priority="412"/>
  </conditionalFormatting>
  <conditionalFormatting sqref="I13">
    <cfRule type="expression" dxfId="1561" priority="378">
      <formula>$N$13=2</formula>
    </cfRule>
    <cfRule type="expression" dxfId="1560" priority="381">
      <formula>$N$13=1</formula>
    </cfRule>
  </conditionalFormatting>
  <conditionalFormatting sqref="L13">
    <cfRule type="expression" dxfId="1559" priority="379">
      <formula>$N$13=1</formula>
    </cfRule>
    <cfRule type="expression" dxfId="1558" priority="380">
      <formula>$N$13=2</formula>
    </cfRule>
  </conditionalFormatting>
  <conditionalFormatting sqref="A47">
    <cfRule type="cellIs" dxfId="1557" priority="377" operator="equal">
      <formula>""</formula>
    </cfRule>
  </conditionalFormatting>
  <conditionalFormatting sqref="A49">
    <cfRule type="cellIs" dxfId="1556" priority="376" operator="equal">
      <formula>""</formula>
    </cfRule>
  </conditionalFormatting>
  <conditionalFormatting sqref="A48">
    <cfRule type="cellIs" dxfId="1555" priority="375" operator="equal">
      <formula>""</formula>
    </cfRule>
  </conditionalFormatting>
  <conditionalFormatting sqref="A53">
    <cfRule type="cellIs" dxfId="1554" priority="342" operator="equal">
      <formula>""</formula>
    </cfRule>
  </conditionalFormatting>
  <conditionalFormatting sqref="A54">
    <cfRule type="cellIs" dxfId="1553" priority="341" operator="equal">
      <formula>""</formula>
    </cfRule>
  </conditionalFormatting>
  <conditionalFormatting sqref="A55">
    <cfRule type="cellIs" dxfId="1552" priority="340" operator="equal">
      <formula>""</formula>
    </cfRule>
  </conditionalFormatting>
  <conditionalFormatting sqref="A56">
    <cfRule type="cellIs" dxfId="1551" priority="339" operator="equal">
      <formula>""</formula>
    </cfRule>
  </conditionalFormatting>
  <conditionalFormatting sqref="A59">
    <cfRule type="cellIs" dxfId="1550" priority="258" operator="equal">
      <formula>""</formula>
    </cfRule>
  </conditionalFormatting>
  <conditionalFormatting sqref="A58">
    <cfRule type="cellIs" dxfId="1549" priority="256" operator="equal">
      <formula>""</formula>
    </cfRule>
  </conditionalFormatting>
  <conditionalFormatting sqref="A65">
    <cfRule type="cellIs" dxfId="1548" priority="254" operator="equal">
      <formula>""</formula>
    </cfRule>
  </conditionalFormatting>
  <conditionalFormatting sqref="A64">
    <cfRule type="cellIs" dxfId="1547" priority="253" operator="equal">
      <formula>""</formula>
    </cfRule>
  </conditionalFormatting>
  <conditionalFormatting sqref="A67">
    <cfRule type="cellIs" dxfId="1546" priority="252" operator="equal">
      <formula>""</formula>
    </cfRule>
  </conditionalFormatting>
  <conditionalFormatting sqref="D67">
    <cfRule type="duplicateValues" dxfId="1545" priority="251"/>
  </conditionalFormatting>
  <conditionalFormatting sqref="A66">
    <cfRule type="cellIs" dxfId="1544" priority="250" operator="equal">
      <formula>""</formula>
    </cfRule>
  </conditionalFormatting>
  <conditionalFormatting sqref="D66">
    <cfRule type="duplicateValues" dxfId="1543" priority="249"/>
  </conditionalFormatting>
  <conditionalFormatting sqref="A96">
    <cfRule type="cellIs" dxfId="1542" priority="248" operator="equal">
      <formula>""</formula>
    </cfRule>
  </conditionalFormatting>
  <conditionalFormatting sqref="A95">
    <cfRule type="cellIs" dxfId="1541" priority="247" operator="equal">
      <formula>""</formula>
    </cfRule>
  </conditionalFormatting>
  <conditionalFormatting sqref="A71">
    <cfRule type="cellIs" dxfId="1540" priority="246" operator="equal">
      <formula>""</formula>
    </cfRule>
  </conditionalFormatting>
  <conditionalFormatting sqref="A92">
    <cfRule type="cellIs" dxfId="1539" priority="241" operator="equal">
      <formula>""</formula>
    </cfRule>
  </conditionalFormatting>
  <conditionalFormatting sqref="C24:E24">
    <cfRule type="cellIs" dxfId="1538" priority="236" operator="equal">
      <formula>""</formula>
    </cfRule>
  </conditionalFormatting>
  <conditionalFormatting sqref="C25:E25">
    <cfRule type="cellIs" dxfId="1537" priority="235" operator="equal">
      <formula>""</formula>
    </cfRule>
  </conditionalFormatting>
  <conditionalFormatting sqref="C26:E26">
    <cfRule type="cellIs" dxfId="1536" priority="234" operator="equal">
      <formula>""</formula>
    </cfRule>
  </conditionalFormatting>
  <conditionalFormatting sqref="C27:E27">
    <cfRule type="cellIs" dxfId="1535" priority="233" operator="equal">
      <formula>""</formula>
    </cfRule>
  </conditionalFormatting>
  <conditionalFormatting sqref="I26:K26 I24:I25">
    <cfRule type="cellIs" dxfId="1534" priority="232" operator="equal">
      <formula>""</formula>
    </cfRule>
  </conditionalFormatting>
  <conditionalFormatting sqref="K4">
    <cfRule type="cellIs" dxfId="1533" priority="225" operator="equal">
      <formula>""</formula>
    </cfRule>
  </conditionalFormatting>
  <conditionalFormatting sqref="K5">
    <cfRule type="cellIs" dxfId="1532" priority="224" operator="equal">
      <formula>""</formula>
    </cfRule>
  </conditionalFormatting>
  <conditionalFormatting sqref="K6">
    <cfRule type="cellIs" dxfId="1531" priority="223" operator="equal">
      <formula>""</formula>
    </cfRule>
  </conditionalFormatting>
  <conditionalFormatting sqref="K7">
    <cfRule type="cellIs" dxfId="1530" priority="222" operator="equal">
      <formula>""</formula>
    </cfRule>
  </conditionalFormatting>
  <conditionalFormatting sqref="Y37:AC37 T37:W37">
    <cfRule type="duplicateValues" dxfId="1529" priority="215"/>
  </conditionalFormatting>
  <conditionalFormatting sqref="T40:AB40 AD40:AL40">
    <cfRule type="duplicateValues" dxfId="1528" priority="216"/>
  </conditionalFormatting>
  <conditionalFormatting sqref="AC40">
    <cfRule type="duplicateValues" dxfId="1527" priority="214"/>
  </conditionalFormatting>
  <conditionalFormatting sqref="AD41:AL41 T41:AB41">
    <cfRule type="duplicateValues" dxfId="1526" priority="217"/>
  </conditionalFormatting>
  <conditionalFormatting sqref="T42:AL42">
    <cfRule type="duplicateValues" dxfId="1525" priority="218"/>
  </conditionalFormatting>
  <conditionalFormatting sqref="T43:AM43">
    <cfRule type="duplicateValues" dxfId="1524" priority="219"/>
  </conditionalFormatting>
  <conditionalFormatting sqref="AD45:AM45">
    <cfRule type="duplicateValues" dxfId="1523" priority="213"/>
  </conditionalFormatting>
  <conditionalFormatting sqref="T45:AC45">
    <cfRule type="duplicateValues" dxfId="1522" priority="220"/>
  </conditionalFormatting>
  <conditionalFormatting sqref="AD46:AL46">
    <cfRule type="duplicateValues" dxfId="1521" priority="212"/>
  </conditionalFormatting>
  <conditionalFormatting sqref="AC46">
    <cfRule type="duplicateValues" dxfId="1520" priority="211"/>
  </conditionalFormatting>
  <conditionalFormatting sqref="AM46">
    <cfRule type="duplicateValues" dxfId="1519" priority="210"/>
  </conditionalFormatting>
  <conditionalFormatting sqref="T46:AB46">
    <cfRule type="duplicateValues" dxfId="1518" priority="221"/>
  </conditionalFormatting>
  <conditionalFormatting sqref="T48">
    <cfRule type="duplicateValues" dxfId="1517" priority="209"/>
  </conditionalFormatting>
  <conditionalFormatting sqref="Y48">
    <cfRule type="duplicateValues" dxfId="1516" priority="208"/>
  </conditionalFormatting>
  <conditionalFormatting sqref="V48">
    <cfRule type="duplicateValues" dxfId="1515" priority="207"/>
  </conditionalFormatting>
  <conditionalFormatting sqref="U48">
    <cfRule type="duplicateValues" dxfId="1514" priority="206"/>
  </conditionalFormatting>
  <conditionalFormatting sqref="AA48">
    <cfRule type="duplicateValues" dxfId="1513" priority="205"/>
  </conditionalFormatting>
  <conditionalFormatting sqref="Z48">
    <cfRule type="duplicateValues" dxfId="1512" priority="204"/>
  </conditionalFormatting>
  <conditionalFormatting sqref="W48">
    <cfRule type="duplicateValues" dxfId="1511" priority="203"/>
  </conditionalFormatting>
  <conditionalFormatting sqref="T49">
    <cfRule type="duplicateValues" dxfId="1510" priority="202"/>
  </conditionalFormatting>
  <conditionalFormatting sqref="W49">
    <cfRule type="duplicateValues" dxfId="1509" priority="201"/>
  </conditionalFormatting>
  <conditionalFormatting sqref="V49">
    <cfRule type="duplicateValues" dxfId="1508" priority="200"/>
  </conditionalFormatting>
  <conditionalFormatting sqref="U49">
    <cfRule type="duplicateValues" dxfId="1507" priority="199"/>
  </conditionalFormatting>
  <conditionalFormatting sqref="Y49">
    <cfRule type="duplicateValues" dxfId="1506" priority="198"/>
  </conditionalFormatting>
  <conditionalFormatting sqref="AA49">
    <cfRule type="duplicateValues" dxfId="1505" priority="197"/>
  </conditionalFormatting>
  <conditionalFormatting sqref="Z49">
    <cfRule type="duplicateValues" dxfId="1504" priority="196"/>
  </conditionalFormatting>
  <conditionalFormatting sqref="T50:T52">
    <cfRule type="duplicateValues" dxfId="1503" priority="195"/>
  </conditionalFormatting>
  <conditionalFormatting sqref="U50:U52">
    <cfRule type="duplicateValues" dxfId="1502" priority="194"/>
  </conditionalFormatting>
  <conditionalFormatting sqref="V50:V52">
    <cfRule type="duplicateValues" dxfId="1501" priority="193"/>
  </conditionalFormatting>
  <conditionalFormatting sqref="W50:W52">
    <cfRule type="duplicateValues" dxfId="1500" priority="192"/>
  </conditionalFormatting>
  <conditionalFormatting sqref="X50:X52">
    <cfRule type="duplicateValues" dxfId="1499" priority="191"/>
  </conditionalFormatting>
  <conditionalFormatting sqref="Y50:Y52">
    <cfRule type="duplicateValues" dxfId="1498" priority="190"/>
  </conditionalFormatting>
  <conditionalFormatting sqref="Z50:Z52">
    <cfRule type="duplicateValues" dxfId="1497" priority="189"/>
  </conditionalFormatting>
  <conditionalFormatting sqref="AA50:AA52">
    <cfRule type="duplicateValues" dxfId="1496" priority="188"/>
  </conditionalFormatting>
  <conditionalFormatting sqref="AB50:AB52">
    <cfRule type="duplicateValues" dxfId="1495" priority="187"/>
  </conditionalFormatting>
  <conditionalFormatting sqref="T44:AC44">
    <cfRule type="duplicateValues" dxfId="1494" priority="186"/>
  </conditionalFormatting>
  <conditionalFormatting sqref="AM44">
    <cfRule type="duplicateValues" dxfId="1493" priority="185"/>
  </conditionalFormatting>
  <conditionalFormatting sqref="AD44:AL44">
    <cfRule type="duplicateValues" dxfId="1492" priority="184"/>
  </conditionalFormatting>
  <conditionalFormatting sqref="T47">
    <cfRule type="duplicateValues" dxfId="1491" priority="183"/>
  </conditionalFormatting>
  <conditionalFormatting sqref="Y47">
    <cfRule type="duplicateValues" dxfId="1490" priority="182"/>
  </conditionalFormatting>
  <conditionalFormatting sqref="V47">
    <cfRule type="duplicateValues" dxfId="1489" priority="181"/>
  </conditionalFormatting>
  <conditionalFormatting sqref="U47">
    <cfRule type="duplicateValues" dxfId="1488" priority="180"/>
  </conditionalFormatting>
  <conditionalFormatting sqref="AA47">
    <cfRule type="duplicateValues" dxfId="1487" priority="179"/>
  </conditionalFormatting>
  <conditionalFormatting sqref="Z47">
    <cfRule type="duplicateValues" dxfId="1486" priority="178"/>
  </conditionalFormatting>
  <conditionalFormatting sqref="W47">
    <cfRule type="duplicateValues" dxfId="1485" priority="177"/>
  </conditionalFormatting>
  <conditionalFormatting sqref="X47">
    <cfRule type="duplicateValues" dxfId="1484" priority="176"/>
  </conditionalFormatting>
  <conditionalFormatting sqref="AB47">
    <cfRule type="duplicateValues" dxfId="1483" priority="175"/>
  </conditionalFormatting>
  <conditionalFormatting sqref="AB48">
    <cfRule type="duplicateValues" dxfId="1482" priority="174"/>
  </conditionalFormatting>
  <conditionalFormatting sqref="AB49">
    <cfRule type="duplicateValues" dxfId="1481" priority="173"/>
  </conditionalFormatting>
  <conditionalFormatting sqref="AC50:AC52">
    <cfRule type="duplicateValues" dxfId="1480" priority="172"/>
  </conditionalFormatting>
  <conditionalFormatting sqref="AC48">
    <cfRule type="duplicateValues" dxfId="1479" priority="171"/>
  </conditionalFormatting>
  <conditionalFormatting sqref="AC49">
    <cfRule type="duplicateValues" dxfId="1478" priority="170"/>
  </conditionalFormatting>
  <conditionalFormatting sqref="AC47">
    <cfRule type="duplicateValues" dxfId="1477" priority="169"/>
  </conditionalFormatting>
  <conditionalFormatting sqref="AD54:AM54">
    <cfRule type="duplicateValues" dxfId="1476" priority="165"/>
  </conditionalFormatting>
  <conditionalFormatting sqref="T54:AB54">
    <cfRule type="duplicateValues" dxfId="1475" priority="166"/>
  </conditionalFormatting>
  <conditionalFormatting sqref="AY54:BG54">
    <cfRule type="duplicateValues" dxfId="1474" priority="163"/>
  </conditionalFormatting>
  <conditionalFormatting sqref="AO54:AW54">
    <cfRule type="duplicateValues" dxfId="1473" priority="164"/>
  </conditionalFormatting>
  <conditionalFormatting sqref="BT54:CC54">
    <cfRule type="duplicateValues" dxfId="1472" priority="161"/>
  </conditionalFormatting>
  <conditionalFormatting sqref="BK54:BR54">
    <cfRule type="duplicateValues" dxfId="1471" priority="162"/>
  </conditionalFormatting>
  <conditionalFormatting sqref="CF54:CM54">
    <cfRule type="duplicateValues" dxfId="1470" priority="167"/>
  </conditionalFormatting>
  <conditionalFormatting sqref="CO54:CW54">
    <cfRule type="duplicateValues" dxfId="1469" priority="168"/>
  </conditionalFormatting>
  <conditionalFormatting sqref="DA54:DH54">
    <cfRule type="duplicateValues" dxfId="1468" priority="159"/>
  </conditionalFormatting>
  <conditionalFormatting sqref="DJ54:DR54">
    <cfRule type="duplicateValues" dxfId="1467" priority="160"/>
  </conditionalFormatting>
  <conditionalFormatting sqref="DV54:EC54">
    <cfRule type="duplicateValues" dxfId="1466" priority="158"/>
  </conditionalFormatting>
  <conditionalFormatting sqref="EQ54:EX54">
    <cfRule type="duplicateValues" dxfId="1465" priority="157"/>
  </conditionalFormatting>
  <conditionalFormatting sqref="EZ54:FH54">
    <cfRule type="duplicateValues" dxfId="1464" priority="156"/>
  </conditionalFormatting>
  <conditionalFormatting sqref="FL54:FS54">
    <cfRule type="duplicateValues" dxfId="1463" priority="155"/>
  </conditionalFormatting>
  <conditionalFormatting sqref="FU54:GC54">
    <cfRule type="duplicateValues" dxfId="1462" priority="154"/>
  </conditionalFormatting>
  <conditionalFormatting sqref="GG54:GN54">
    <cfRule type="duplicateValues" dxfId="1461" priority="153"/>
  </conditionalFormatting>
  <conditionalFormatting sqref="GP54:GX54">
    <cfRule type="duplicateValues" dxfId="1460" priority="152"/>
  </conditionalFormatting>
  <conditionalFormatting sqref="HB54:HI54">
    <cfRule type="duplicateValues" dxfId="1459" priority="151"/>
  </conditionalFormatting>
  <conditionalFormatting sqref="HK54:HS54">
    <cfRule type="duplicateValues" dxfId="1458" priority="150"/>
  </conditionalFormatting>
  <conditionalFormatting sqref="HW54:ID54">
    <cfRule type="duplicateValues" dxfId="1457" priority="149"/>
  </conditionalFormatting>
  <conditionalFormatting sqref="IF54:IN54">
    <cfRule type="duplicateValues" dxfId="1456" priority="148"/>
  </conditionalFormatting>
  <conditionalFormatting sqref="IR54:IY54">
    <cfRule type="duplicateValues" dxfId="1455" priority="147"/>
  </conditionalFormatting>
  <conditionalFormatting sqref="JA54:JI54">
    <cfRule type="duplicateValues" dxfId="1454" priority="146"/>
  </conditionalFormatting>
  <conditionalFormatting sqref="JM54:JT54">
    <cfRule type="duplicateValues" dxfId="1453" priority="145"/>
  </conditionalFormatting>
  <conditionalFormatting sqref="JV54:KD54">
    <cfRule type="duplicateValues" dxfId="1452" priority="144"/>
  </conditionalFormatting>
  <conditionalFormatting sqref="KH54:KO54">
    <cfRule type="duplicateValues" dxfId="1451" priority="143"/>
  </conditionalFormatting>
  <conditionalFormatting sqref="KQ54:KY54">
    <cfRule type="duplicateValues" dxfId="1450" priority="142"/>
  </conditionalFormatting>
  <conditionalFormatting sqref="LL54:LT54">
    <cfRule type="duplicateValues" dxfId="1449" priority="141"/>
  </conditionalFormatting>
  <conditionalFormatting sqref="LC54:LJ54">
    <cfRule type="duplicateValues" dxfId="1448" priority="140"/>
  </conditionalFormatting>
  <conditionalFormatting sqref="LX54:ME54">
    <cfRule type="duplicateValues" dxfId="1447" priority="139"/>
  </conditionalFormatting>
  <conditionalFormatting sqref="MG54:MO54">
    <cfRule type="duplicateValues" dxfId="1446" priority="138"/>
  </conditionalFormatting>
  <conditionalFormatting sqref="MS54:MZ54">
    <cfRule type="duplicateValues" dxfId="1445" priority="137"/>
  </conditionalFormatting>
  <conditionalFormatting sqref="NB54:NJ54">
    <cfRule type="duplicateValues" dxfId="1444" priority="136"/>
  </conditionalFormatting>
  <conditionalFormatting sqref="NN54:NU54">
    <cfRule type="duplicateValues" dxfId="1443" priority="135"/>
  </conditionalFormatting>
  <conditionalFormatting sqref="NW54:OE54">
    <cfRule type="duplicateValues" dxfId="1442" priority="134"/>
  </conditionalFormatting>
  <conditionalFormatting sqref="OI54:OP54">
    <cfRule type="duplicateValues" dxfId="1441" priority="133"/>
  </conditionalFormatting>
  <conditionalFormatting sqref="OR54:OZ54">
    <cfRule type="duplicateValues" dxfId="1440" priority="132"/>
  </conditionalFormatting>
  <conditionalFormatting sqref="PD54:PK54">
    <cfRule type="duplicateValues" dxfId="1439" priority="131"/>
  </conditionalFormatting>
  <conditionalFormatting sqref="PM54:PU54">
    <cfRule type="duplicateValues" dxfId="1438" priority="130"/>
  </conditionalFormatting>
  <conditionalFormatting sqref="PY54:QF54">
    <cfRule type="duplicateValues" dxfId="1437" priority="129"/>
  </conditionalFormatting>
  <conditionalFormatting sqref="QH54:QQ54">
    <cfRule type="duplicateValues" dxfId="1436" priority="128"/>
  </conditionalFormatting>
  <conditionalFormatting sqref="T55:AB55 AD55:AL55">
    <cfRule type="duplicateValues" dxfId="1435" priority="127"/>
  </conditionalFormatting>
  <conditionalFormatting sqref="BJ54">
    <cfRule type="duplicateValues" dxfId="1434" priority="126"/>
  </conditionalFormatting>
  <conditionalFormatting sqref="CE54">
    <cfRule type="duplicateValues" dxfId="1433" priority="125"/>
  </conditionalFormatting>
  <conditionalFormatting sqref="CZ54">
    <cfRule type="duplicateValues" dxfId="1432" priority="124"/>
  </conditionalFormatting>
  <conditionalFormatting sqref="DU54">
    <cfRule type="duplicateValues" dxfId="1431" priority="123"/>
  </conditionalFormatting>
  <conditionalFormatting sqref="EP54">
    <cfRule type="duplicateValues" dxfId="1430" priority="122"/>
  </conditionalFormatting>
  <conditionalFormatting sqref="FK54">
    <cfRule type="duplicateValues" dxfId="1429" priority="121"/>
  </conditionalFormatting>
  <conditionalFormatting sqref="GF54">
    <cfRule type="duplicateValues" dxfId="1428" priority="120"/>
  </conditionalFormatting>
  <conditionalFormatting sqref="HA54">
    <cfRule type="duplicateValues" dxfId="1427" priority="119"/>
  </conditionalFormatting>
  <conditionalFormatting sqref="HV54">
    <cfRule type="duplicateValues" dxfId="1426" priority="118"/>
  </conditionalFormatting>
  <conditionalFormatting sqref="IQ54">
    <cfRule type="duplicateValues" dxfId="1425" priority="117"/>
  </conditionalFormatting>
  <conditionalFormatting sqref="JL54">
    <cfRule type="duplicateValues" dxfId="1424" priority="116"/>
  </conditionalFormatting>
  <conditionalFormatting sqref="KG54">
    <cfRule type="duplicateValues" dxfId="1423" priority="115"/>
  </conditionalFormatting>
  <conditionalFormatting sqref="LB54">
    <cfRule type="duplicateValues" dxfId="1422" priority="114"/>
  </conditionalFormatting>
  <conditionalFormatting sqref="LW54">
    <cfRule type="duplicateValues" dxfId="1421" priority="113"/>
  </conditionalFormatting>
  <conditionalFormatting sqref="MR54">
    <cfRule type="duplicateValues" dxfId="1420" priority="112"/>
  </conditionalFormatting>
  <conditionalFormatting sqref="NM54">
    <cfRule type="duplicateValues" dxfId="1419" priority="111"/>
  </conditionalFormatting>
  <conditionalFormatting sqref="OH54">
    <cfRule type="duplicateValues" dxfId="1418" priority="110"/>
  </conditionalFormatting>
  <conditionalFormatting sqref="PC54">
    <cfRule type="duplicateValues" dxfId="1417" priority="109"/>
  </conditionalFormatting>
  <conditionalFormatting sqref="PX54">
    <cfRule type="duplicateValues" dxfId="1416" priority="108"/>
  </conditionalFormatting>
  <conditionalFormatting sqref="AO55:AW55 AY55:BG55">
    <cfRule type="duplicateValues" dxfId="1415" priority="107"/>
  </conditionalFormatting>
  <conditionalFormatting sqref="BJ55:BR55 BT55:CB55">
    <cfRule type="duplicateValues" dxfId="1414" priority="106"/>
  </conditionalFormatting>
  <conditionalFormatting sqref="CE55:CM55 DJ55:DR55">
    <cfRule type="duplicateValues" dxfId="1413" priority="105"/>
  </conditionalFormatting>
  <conditionalFormatting sqref="DU55:EC55 EE55:EM55">
    <cfRule type="duplicateValues" dxfId="1412" priority="104"/>
  </conditionalFormatting>
  <conditionalFormatting sqref="EP55:EX55 EZ55:FH55">
    <cfRule type="duplicateValues" dxfId="1411" priority="103"/>
  </conditionalFormatting>
  <conditionalFormatting sqref="FK55:FS55 FU55:GC55">
    <cfRule type="duplicateValues" dxfId="1410" priority="102"/>
  </conditionalFormatting>
  <conditionalFormatting sqref="T57:AC57">
    <cfRule type="duplicateValues" dxfId="1409" priority="101"/>
  </conditionalFormatting>
  <conditionalFormatting sqref="T59:AC59">
    <cfRule type="duplicateValues" dxfId="1408" priority="100"/>
  </conditionalFormatting>
  <conditionalFormatting sqref="T60:AC60 AC61:AC63">
    <cfRule type="duplicateValues" dxfId="1407" priority="99"/>
  </conditionalFormatting>
  <conditionalFormatting sqref="T61:AB61">
    <cfRule type="duplicateValues" dxfId="1406" priority="98"/>
  </conditionalFormatting>
  <conditionalFormatting sqref="AC61">
    <cfRule type="duplicateValues" dxfId="1405" priority="97"/>
  </conditionalFormatting>
  <conditionalFormatting sqref="T62:AB62">
    <cfRule type="duplicateValues" dxfId="1404" priority="96"/>
  </conditionalFormatting>
  <conditionalFormatting sqref="AC62">
    <cfRule type="duplicateValues" dxfId="1403" priority="95"/>
  </conditionalFormatting>
  <conditionalFormatting sqref="T65:AB65">
    <cfRule type="duplicateValues" dxfId="1402" priority="94"/>
  </conditionalFormatting>
  <conditionalFormatting sqref="AC65">
    <cfRule type="duplicateValues" dxfId="1401" priority="93"/>
  </conditionalFormatting>
  <conditionalFormatting sqref="T58:AC58">
    <cfRule type="duplicateValues" dxfId="1400" priority="92"/>
  </conditionalFormatting>
  <conditionalFormatting sqref="T63:AB63">
    <cfRule type="duplicateValues" dxfId="1399" priority="91"/>
  </conditionalFormatting>
  <conditionalFormatting sqref="AC63">
    <cfRule type="duplicateValues" dxfId="1398" priority="90"/>
  </conditionalFormatting>
  <conditionalFormatting sqref="T64:AB64">
    <cfRule type="duplicateValues" dxfId="1397" priority="89"/>
  </conditionalFormatting>
  <conditionalFormatting sqref="AC64">
    <cfRule type="duplicateValues" dxfId="1396" priority="88"/>
  </conditionalFormatting>
  <conditionalFormatting sqref="AC53">
    <cfRule type="duplicateValues" dxfId="1395" priority="86"/>
  </conditionalFormatting>
  <conditionalFormatting sqref="T53:AB53">
    <cfRule type="duplicateValues" dxfId="1394" priority="87"/>
  </conditionalFormatting>
  <conditionalFormatting sqref="EE54:EM54">
    <cfRule type="duplicateValues" dxfId="1393" priority="85"/>
  </conditionalFormatting>
  <conditionalFormatting sqref="CO55:CW55">
    <cfRule type="duplicateValues" dxfId="1392" priority="84"/>
  </conditionalFormatting>
  <conditionalFormatting sqref="T56:AB56 AD56:AM56">
    <cfRule type="duplicateValues" dxfId="1391" priority="83"/>
  </conditionalFormatting>
  <conditionalFormatting sqref="AO56:AW56 AY56:BH56">
    <cfRule type="duplicateValues" dxfId="1390" priority="82"/>
  </conditionalFormatting>
  <conditionalFormatting sqref="BJ56:BR56 BT56:CC56">
    <cfRule type="duplicateValues" dxfId="1389" priority="81"/>
  </conditionalFormatting>
  <conditionalFormatting sqref="CE56:CM56 DJ56:DS56">
    <cfRule type="duplicateValues" dxfId="1388" priority="80"/>
  </conditionalFormatting>
  <conditionalFormatting sqref="DU56:EC56 EE56:EN56">
    <cfRule type="duplicateValues" dxfId="1387" priority="79"/>
  </conditionalFormatting>
  <conditionalFormatting sqref="CO56:CX56">
    <cfRule type="duplicateValues" dxfId="1386" priority="78"/>
  </conditionalFormatting>
  <conditionalFormatting sqref="AM53">
    <cfRule type="duplicateValues" dxfId="1385" priority="76"/>
  </conditionalFormatting>
  <conditionalFormatting sqref="AD53:AL53">
    <cfRule type="duplicateValues" dxfId="1384" priority="77"/>
  </conditionalFormatting>
  <conditionalFormatting sqref="AM55">
    <cfRule type="duplicateValues" dxfId="1383" priority="75"/>
  </conditionalFormatting>
  <conditionalFormatting sqref="BH54">
    <cfRule type="duplicateValues" dxfId="1382" priority="74"/>
  </conditionalFormatting>
  <conditionalFormatting sqref="BH55">
    <cfRule type="duplicateValues" dxfId="1381" priority="73"/>
  </conditionalFormatting>
  <conditionalFormatting sqref="CC55">
    <cfRule type="duplicateValues" dxfId="1380" priority="72"/>
  </conditionalFormatting>
  <conditionalFormatting sqref="CX54">
    <cfRule type="duplicateValues" dxfId="1379" priority="71"/>
  </conditionalFormatting>
  <conditionalFormatting sqref="CX55">
    <cfRule type="duplicateValues" dxfId="1378" priority="70"/>
  </conditionalFormatting>
  <conditionalFormatting sqref="DS54">
    <cfRule type="duplicateValues" dxfId="1377" priority="69"/>
  </conditionalFormatting>
  <conditionalFormatting sqref="DS55">
    <cfRule type="duplicateValues" dxfId="1376" priority="68"/>
  </conditionalFormatting>
  <conditionalFormatting sqref="EN54">
    <cfRule type="duplicateValues" dxfId="1375" priority="67"/>
  </conditionalFormatting>
  <conditionalFormatting sqref="EN55">
    <cfRule type="duplicateValues" dxfId="1374" priority="66"/>
  </conditionalFormatting>
  <conditionalFormatting sqref="FI54">
    <cfRule type="duplicateValues" dxfId="1373" priority="65"/>
  </conditionalFormatting>
  <conditionalFormatting sqref="FI55">
    <cfRule type="duplicateValues" dxfId="1372" priority="64"/>
  </conditionalFormatting>
  <conditionalFormatting sqref="GD54">
    <cfRule type="duplicateValues" dxfId="1371" priority="63"/>
  </conditionalFormatting>
  <conditionalFormatting sqref="GD55">
    <cfRule type="duplicateValues" dxfId="1370" priority="62"/>
  </conditionalFormatting>
  <conditionalFormatting sqref="PV54">
    <cfRule type="duplicateValues" dxfId="1369" priority="61"/>
  </conditionalFormatting>
  <conditionalFormatting sqref="PA54">
    <cfRule type="duplicateValues" dxfId="1368" priority="60"/>
  </conditionalFormatting>
  <conditionalFormatting sqref="OF54">
    <cfRule type="duplicateValues" dxfId="1367" priority="59"/>
  </conditionalFormatting>
  <conditionalFormatting sqref="NK54">
    <cfRule type="duplicateValues" dxfId="1366" priority="58"/>
  </conditionalFormatting>
  <conditionalFormatting sqref="MP54">
    <cfRule type="duplicateValues" dxfId="1365" priority="57"/>
  </conditionalFormatting>
  <conditionalFormatting sqref="LU54">
    <cfRule type="duplicateValues" dxfId="1364" priority="56"/>
  </conditionalFormatting>
  <conditionalFormatting sqref="KZ54">
    <cfRule type="duplicateValues" dxfId="1363" priority="55"/>
  </conditionalFormatting>
  <conditionalFormatting sqref="KE54">
    <cfRule type="duplicateValues" dxfId="1362" priority="54"/>
  </conditionalFormatting>
  <conditionalFormatting sqref="JJ54">
    <cfRule type="duplicateValues" dxfId="1361" priority="53"/>
  </conditionalFormatting>
  <conditionalFormatting sqref="IO54">
    <cfRule type="duplicateValues" dxfId="1360" priority="52"/>
  </conditionalFormatting>
  <conditionalFormatting sqref="HT54">
    <cfRule type="duplicateValues" dxfId="1359" priority="51"/>
  </conditionalFormatting>
  <conditionalFormatting sqref="GY54">
    <cfRule type="duplicateValues" dxfId="1358" priority="50"/>
  </conditionalFormatting>
  <conditionalFormatting sqref="AC69">
    <cfRule type="duplicateValues" dxfId="1357" priority="49"/>
  </conditionalFormatting>
  <conditionalFormatting sqref="T72:AC72">
    <cfRule type="duplicateValues" dxfId="1356" priority="48"/>
  </conditionalFormatting>
  <conditionalFormatting sqref="T73:AC73">
    <cfRule type="duplicateValues" dxfId="1355" priority="47"/>
  </conditionalFormatting>
  <conditionalFormatting sqref="T74:AB74">
    <cfRule type="duplicateValues" dxfId="1354" priority="46"/>
  </conditionalFormatting>
  <conditionalFormatting sqref="AC74">
    <cfRule type="duplicateValues" dxfId="1353" priority="45"/>
  </conditionalFormatting>
  <conditionalFormatting sqref="AC75">
    <cfRule type="duplicateValues" dxfId="1352" priority="44"/>
  </conditionalFormatting>
  <conditionalFormatting sqref="T75:AB75">
    <cfRule type="duplicateValues" dxfId="1351" priority="43"/>
  </conditionalFormatting>
  <conditionalFormatting sqref="T71:AB71">
    <cfRule type="duplicateValues" dxfId="1350" priority="42"/>
  </conditionalFormatting>
  <conditionalFormatting sqref="AC71">
    <cfRule type="duplicateValues" dxfId="1349" priority="41"/>
  </conditionalFormatting>
  <conditionalFormatting sqref="T77:AB77">
    <cfRule type="duplicateValues" dxfId="1348" priority="40"/>
  </conditionalFormatting>
  <conditionalFormatting sqref="AD77:AL77">
    <cfRule type="duplicateValues" dxfId="1347" priority="39"/>
  </conditionalFormatting>
  <conditionalFormatting sqref="T79:AB79">
    <cfRule type="duplicateValues" dxfId="1346" priority="33"/>
  </conditionalFormatting>
  <conditionalFormatting sqref="T80:AB80">
    <cfRule type="duplicateValues" dxfId="1345" priority="37"/>
  </conditionalFormatting>
  <conditionalFormatting sqref="T81:AB81">
    <cfRule type="duplicateValues" dxfId="1344" priority="32"/>
  </conditionalFormatting>
  <conditionalFormatting sqref="T82:AB82">
    <cfRule type="duplicateValues" dxfId="1343" priority="31"/>
  </conditionalFormatting>
  <conditionalFormatting sqref="U83:AB83">
    <cfRule type="duplicateValues" dxfId="1342" priority="30"/>
  </conditionalFormatting>
  <conditionalFormatting sqref="T83">
    <cfRule type="duplicateValues" dxfId="1341" priority="29"/>
  </conditionalFormatting>
  <conditionalFormatting sqref="T84:AB84">
    <cfRule type="duplicateValues" dxfId="1340" priority="28"/>
  </conditionalFormatting>
  <conditionalFormatting sqref="T85:AB85">
    <cfRule type="duplicateValues" dxfId="1339" priority="27"/>
  </conditionalFormatting>
  <conditionalFormatting sqref="T86:AB86">
    <cfRule type="duplicateValues" dxfId="1338" priority="26"/>
  </conditionalFormatting>
  <conditionalFormatting sqref="T87:AB87">
    <cfRule type="duplicateValues" dxfId="1337" priority="25"/>
  </conditionalFormatting>
  <conditionalFormatting sqref="T88:AB88">
    <cfRule type="duplicateValues" dxfId="1336" priority="24"/>
  </conditionalFormatting>
  <conditionalFormatting sqref="T90:AB90">
    <cfRule type="duplicateValues" dxfId="1335" priority="23"/>
  </conditionalFormatting>
  <conditionalFormatting sqref="T89:AB89">
    <cfRule type="duplicateValues" dxfId="1334" priority="38"/>
  </conditionalFormatting>
  <conditionalFormatting sqref="T91:AB91">
    <cfRule type="duplicateValues" dxfId="1333" priority="22"/>
  </conditionalFormatting>
  <conditionalFormatting sqref="AC79">
    <cfRule type="duplicateValues" dxfId="1332" priority="18"/>
  </conditionalFormatting>
  <conditionalFormatting sqref="AC81">
    <cfRule type="duplicateValues" dxfId="1331" priority="17"/>
  </conditionalFormatting>
  <conditionalFormatting sqref="AC82">
    <cfRule type="duplicateValues" dxfId="1330" priority="16"/>
  </conditionalFormatting>
  <conditionalFormatting sqref="AC80">
    <cfRule type="duplicateValues" dxfId="1329" priority="15"/>
  </conditionalFormatting>
  <conditionalFormatting sqref="AC83">
    <cfRule type="duplicateValues" dxfId="1328" priority="13"/>
  </conditionalFormatting>
  <conditionalFormatting sqref="AC84">
    <cfRule type="duplicateValues" dxfId="1327" priority="12"/>
  </conditionalFormatting>
  <conditionalFormatting sqref="AC85">
    <cfRule type="duplicateValues" dxfId="1326" priority="11"/>
  </conditionalFormatting>
  <conditionalFormatting sqref="AC86">
    <cfRule type="duplicateValues" dxfId="1325" priority="10"/>
  </conditionalFormatting>
  <conditionalFormatting sqref="AC87">
    <cfRule type="duplicateValues" dxfId="1324" priority="9"/>
  </conditionalFormatting>
  <conditionalFormatting sqref="AC88">
    <cfRule type="duplicateValues" dxfId="1323" priority="8"/>
  </conditionalFormatting>
  <conditionalFormatting sqref="AC90">
    <cfRule type="duplicateValues" dxfId="1322" priority="7"/>
  </conditionalFormatting>
  <conditionalFormatting sqref="AC89">
    <cfRule type="duplicateValues" dxfId="1321" priority="14"/>
  </conditionalFormatting>
  <conditionalFormatting sqref="AC91">
    <cfRule type="duplicateValues" dxfId="1320" priority="6"/>
  </conditionalFormatting>
  <conditionalFormatting sqref="T98:AB98">
    <cfRule type="duplicateValues" dxfId="1319" priority="5"/>
  </conditionalFormatting>
  <conditionalFormatting sqref="AD98:AG98">
    <cfRule type="duplicateValues" dxfId="1318" priority="4"/>
  </conditionalFormatting>
  <conditionalFormatting sqref="AH98:AL98">
    <cfRule type="duplicateValues" dxfId="1317" priority="3"/>
  </conditionalFormatting>
  <conditionalFormatting sqref="AM98">
    <cfRule type="duplicateValues" dxfId="1316" priority="2"/>
  </conditionalFormatting>
  <conditionalFormatting sqref="AC98">
    <cfRule type="duplicateValues" dxfId="1315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7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8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9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0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5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17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19" name="Option Button 27">
              <controlPr defaultSize="0" autoFill="0" autoLine="0" autoPict="0" altText="">
                <anchor moveWithCells="1">
                  <from>
                    <xdr:col>12</xdr:col>
                    <xdr:colOff>83820</xdr:colOff>
                    <xdr:row>14</xdr:row>
                    <xdr:rowOff>160020</xdr:rowOff>
                  </from>
                  <to>
                    <xdr:col>12</xdr:col>
                    <xdr:colOff>144780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4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5" r:id="rId21" name="Option Button 2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6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9" r:id="rId23" name="Group Box 33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0" r:id="rId24" name="Option Button 34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1" r:id="rId25" name="Option Button 35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07" id="{89C7E41D-56B3-4FE8-88D5-B93EF89A5337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606" id="{20D9C585-E960-4A00-A975-4915C02B6218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05" id="{B5DC80F8-1CC2-4297-9D4D-2AB571B93E0B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598" id="{66898D22-BD49-4F36-A7D4-C849D98407A4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I97:K97</xm:sqref>
        </x14:conditionalFormatting>
        <x14:conditionalFormatting xmlns:xm="http://schemas.microsoft.com/office/excel/2006/main">
          <x14:cfRule type="expression" priority="597" id="{2EAD09A3-AD22-4BC3-8CAB-C631F890839B}">
            <xm:f>$I$98=Formeln!$A$1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I98</xm:sqref>
        </x14:conditionalFormatting>
        <x14:conditionalFormatting xmlns:xm="http://schemas.microsoft.com/office/excel/2006/main">
          <x14:cfRule type="expression" priority="595" id="{E7D9110D-2DEF-4D48-BFF2-479144C112AB}">
            <xm:f>$K$98=Formeln!$A$1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K98</xm:sqref>
        </x14:conditionalFormatting>
        <x14:conditionalFormatting xmlns:xm="http://schemas.microsoft.com/office/excel/2006/main">
          <x14:cfRule type="expression" priority="344" id="{082F2C70-C63E-4273-8FFF-362259CF9A2D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343" id="{77647DCB-3294-4866-9999-E420D472828C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228" id="{082AC7D9-51CA-4F9A-99EB-32AD47D3FA3A}">
            <xm:f>$J$54=Formeln!$A$27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227" id="{2E3E1A51-F635-4EF4-A698-C54FECE2870A}">
            <xm:f>$J$55=Formeln!$A$49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  <x14:conditionalFormatting xmlns:xm="http://schemas.microsoft.com/office/excel/2006/main">
          <x14:cfRule type="expression" priority="226" id="{26601A48-6730-4133-8444-C64A833AA702}">
            <xm:f>$J$56=Formeln!$C$49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500-000000000000}">
          <x14:formula1>
            <xm:f>Formeln!$A$27:$A$48</xm:f>
          </x14:formula1>
          <xm:sqref>J54:K54</xm:sqref>
        </x14:dataValidation>
        <x14:dataValidation type="list" allowBlank="1" showInputMessage="1" showErrorMessage="1" xr:uid="{00000000-0002-0000-0500-000001000000}">
          <x14:formula1>
            <xm:f>Formeln!$A$20:$A$22</xm:f>
          </x14:formula1>
          <xm:sqref>I98</xm:sqref>
        </x14:dataValidation>
        <x14:dataValidation type="list" allowBlank="1" showInputMessage="1" showErrorMessage="1" xr:uid="{00000000-0002-0000-0500-000002000000}">
          <x14:formula1>
            <xm:f>Formeln!$A$17:$A$19</xm:f>
          </x14:formula1>
          <xm:sqref>H49:K49</xm:sqref>
        </x14:dataValidation>
        <x14:dataValidation type="list" allowBlank="1" showInputMessage="1" showErrorMessage="1" xr:uid="{00000000-0002-0000-0500-000003000000}">
          <x14:formula1>
            <xm:f>Formeln!$A$14:$A$16</xm:f>
          </x14:formula1>
          <xm:sqref>H48:K48</xm:sqref>
        </x14:dataValidation>
        <x14:dataValidation type="list" allowBlank="1" showInputMessage="1" showErrorMessage="1" xr:uid="{00000000-0002-0000-0500-000004000000}">
          <x14:formula1>
            <xm:f>Formeln!$A$9:$A$12</xm:f>
          </x14:formula1>
          <xm:sqref>H38:K38</xm:sqref>
        </x14:dataValidation>
        <x14:dataValidation type="list" allowBlank="1" showInputMessage="1" showErrorMessage="1" xr:uid="{00000000-0002-0000-0500-000005000000}">
          <x14:formula1>
            <xm:f>Formeln!$A$5:$A$8</xm:f>
          </x14:formula1>
          <xm:sqref>H36:K36</xm:sqref>
        </x14:dataValidation>
        <x14:dataValidation type="list" allowBlank="1" showInputMessage="1" showErrorMessage="1" xr:uid="{00000000-0002-0000-0500-000006000000}">
          <x14:formula1>
            <xm:f>Formeln!$A$1:$A$4</xm:f>
          </x14:formula1>
          <xm:sqref>H35:K35</xm:sqref>
        </x14:dataValidation>
        <x14:dataValidation type="list" allowBlank="1" showInputMessage="1" showErrorMessage="1" xr:uid="{00000000-0002-0000-0500-000007000000}">
          <x14:formula1>
            <xm:f>Formeln!$A$103:$A$108</xm:f>
          </x14:formula1>
          <xm:sqref>I97:K97</xm:sqref>
        </x14:dataValidation>
        <x14:dataValidation type="list" allowBlank="1" showInputMessage="1" showErrorMessage="1" xr:uid="{00000000-0002-0000-0500-000008000000}">
          <x14:formula1>
            <xm:f>Formeln!$A$49:$A$100</xm:f>
          </x14:formula1>
          <xm:sqref>J55:K55</xm:sqref>
        </x14:dataValidation>
        <x14:dataValidation type="list" allowBlank="1" showInputMessage="1" showErrorMessage="1" xr:uid="{00000000-0002-0000-0500-000009000000}">
          <x14:formula1>
            <xm:f>Formeln!$C$49:$C$108</xm:f>
          </x14:formula1>
          <xm:sqref>J56:K56</xm:sqref>
        </x14:dataValidation>
        <x14:dataValidation type="list" allowBlank="1" showInputMessage="1" showErrorMessage="1" xr:uid="{00000000-0002-0000-0500-00000A000000}">
          <x14:formula1>
            <xm:f>Formeln!$A$124:$A$134</xm:f>
          </x14:formula1>
          <xm:sqref>K98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QR124"/>
  <sheetViews>
    <sheetView showGridLines="0" showZeros="0" workbookViewId="0">
      <selection activeCell="K7" sqref="K7:M7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VLOOKUP("DACHRAUTE 29 × 29",Sprachindex!A:Z,Info!$O$6,FALSE)</f>
        <v>DACHRAUTE 29 × 29</v>
      </c>
    </row>
    <row r="3" spans="1:17" ht="15" customHeight="1"/>
    <row r="4" spans="1:17" ht="17.25" customHeight="1">
      <c r="J4" s="107" t="str">
        <f>VLOOKUP("RETOURNIERUNG PER FAX:",Sprachindex!A:Z,Info!$O$6,FALSE)</f>
        <v>RETOURNIERUNG PER FAX:</v>
      </c>
      <c r="K4" s="254"/>
      <c r="L4" s="255"/>
      <c r="M4" s="256"/>
      <c r="Q4" s="3"/>
    </row>
    <row r="5" spans="1:17" ht="17.25" customHeight="1">
      <c r="J5" s="107" t="str">
        <f>VLOOKUP("ODER EMAIL:",Sprachindex!A:Z,Info!$O$6,FALSE)</f>
        <v>ODER EMAIL:</v>
      </c>
      <c r="K5" s="254"/>
      <c r="L5" s="255"/>
      <c r="M5" s="256"/>
      <c r="Q5" s="3"/>
    </row>
    <row r="6" spans="1:17" ht="17.25" customHeight="1">
      <c r="J6" s="107" t="str">
        <f>VLOOKUP("Datum:",Sprachindex!A:Z,Info!$O$6,FALSE)</f>
        <v>Datum:</v>
      </c>
      <c r="K6" s="254"/>
      <c r="L6" s="255"/>
      <c r="M6" s="256"/>
      <c r="N6" s="54">
        <v>0</v>
      </c>
      <c r="Q6" s="3"/>
    </row>
    <row r="7" spans="1:17" ht="17.25" customHeight="1">
      <c r="J7" s="107" t="str">
        <f>VLOOKUP("Bestellnummer:",Sprachindex!A:Z,Info!$O$6,FALSE)</f>
        <v>Bestellnummer:</v>
      </c>
      <c r="K7" s="254"/>
      <c r="L7" s="255"/>
      <c r="M7" s="256"/>
      <c r="N7" s="54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M9" s="86"/>
      <c r="N9" s="55"/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112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108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  <c r="M16" s="86"/>
    </row>
    <row r="17" spans="1:3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90"/>
      <c r="D22" s="90"/>
      <c r="E22" s="90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54"/>
      <c r="Q23" s="4"/>
    </row>
    <row r="24" spans="1:39" ht="15" customHeight="1"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54"/>
      <c r="Q24" s="4"/>
    </row>
    <row r="25" spans="1:39" ht="15" customHeight="1"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54"/>
      <c r="Q25" s="4"/>
    </row>
    <row r="26" spans="1:39" ht="15" customHeight="1"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54"/>
      <c r="J26" s="255"/>
      <c r="K26" s="256"/>
      <c r="L26" s="86"/>
      <c r="M26" s="86"/>
      <c r="N26" s="54"/>
      <c r="Q26" s="4"/>
    </row>
    <row r="27" spans="1:39" ht="15" customHeight="1">
      <c r="B27" s="283"/>
      <c r="C27" s="254"/>
      <c r="D27" s="255"/>
      <c r="E27" s="256"/>
      <c r="F27" s="86"/>
      <c r="G27" s="5"/>
      <c r="H27" s="5"/>
      <c r="I27" s="5"/>
      <c r="J27" s="5"/>
      <c r="K27" s="5"/>
      <c r="L27" s="86"/>
      <c r="M27" s="86"/>
      <c r="N27" s="54"/>
      <c r="Q27" s="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P29" s="282" t="s">
        <v>24</v>
      </c>
      <c r="Q29" s="282"/>
    </row>
    <row r="30" spans="1:39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O30" s="1"/>
      <c r="P30" s="212" t="s">
        <v>27</v>
      </c>
      <c r="Q30" s="212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124">
        <f>IF(AND($N$9=2,$N$21=1),T31,IF(AND($N$9=2,$N$21=4),U31,IF(AND($N$9=2,$N$21=5),V31,IF(AND($N$9=2,$N$21=11),W31,IF(AND($N$9=2,$N$21=7),X31,IF(AND($N$9=2,$N$21=3),Y31,IF(AND($N$9=2,$N$21=6),Z31,IF(AND($N$9=2,$N$21=9),AA31,IF(AND($N$9=2,$N$21=2),AB31,IF(AND($N$9=2,$N$21=8),AC31,IF(AND($N$9=1,$N$21=1),AD31,IF(AND($N$9=1,$N$21=1),AD31,IF(AND($N$9=1,$N$21=4),AE31,IF(AND($N$9=1,$N$21=5),AF31,IF(AND($N$9=1,$N$21=11),AG31,IF(AND($N$9=1,$N$21=7),AH31,IF(AND($N$9=1,$N$21=3),AI31,IF(AND($N$9=1,$N$21=6),AJ31,IF(AND($N$9=1,$N$21=9),AK31,IF(AND($N$9=1,$N$21=2),AL31,IF(AND($N$9=1,$N$21=8),AM31,0)))))))))))))))))))))</f>
        <v>0</v>
      </c>
      <c r="E31" s="293" t="str">
        <f>VLOOKUP("Dachraute 29x29",Sprachindex!A:Z,Info!$O$6,FALSE)</f>
        <v>Dachraute 29x29</v>
      </c>
      <c r="F31" s="294"/>
      <c r="G31" s="294"/>
      <c r="H31" s="294"/>
      <c r="I31" s="294"/>
      <c r="J31" s="294"/>
      <c r="K31" s="295"/>
      <c r="L31" s="93" t="str">
        <f>IF(A31=0,"",IF($N$11=1,P31,Q31))</f>
        <v/>
      </c>
      <c r="M31" s="125"/>
      <c r="O31" s="1"/>
      <c r="P31" s="213" t="str">
        <f>ROUNDUP($A31/10,0)*10&amp;" " &amp; Formeln!$A$110 &amp; "                     "  &amp; "(="&amp;ROUNDUP($A31/10,0)*10*12&amp; " " &amp; Formeln!$A$111 &amp; ")"</f>
        <v>0 m²                     (=0 STK)</v>
      </c>
      <c r="Q31" s="217" t="str">
        <f>TRUNC(ROUNDUP(A31/(1/12),0)*(1/12),2) &amp; " m²                                    " &amp; "(="&amp;ROUNDUP(A31/(1/12),0) &amp; " " &amp; VLOOKUP("Stk",Sprachindex!A:Z,Info!$O$6,FALSE)&amp;")"</f>
        <v>0 m²                                    (=0 STK)</v>
      </c>
      <c r="T31" s="46">
        <v>110800</v>
      </c>
      <c r="U31" s="46">
        <v>110801</v>
      </c>
      <c r="V31" s="46">
        <v>110802</v>
      </c>
      <c r="W31" s="46">
        <v>110803</v>
      </c>
      <c r="X31" s="46">
        <v>110804</v>
      </c>
      <c r="Y31" s="46">
        <v>110805</v>
      </c>
      <c r="Z31" s="46">
        <v>110806</v>
      </c>
      <c r="AA31" s="46">
        <v>110807</v>
      </c>
      <c r="AB31" s="46">
        <v>110808</v>
      </c>
      <c r="AC31" s="46"/>
      <c r="AD31" s="46">
        <v>110810</v>
      </c>
      <c r="AE31" s="46">
        <v>110811</v>
      </c>
      <c r="AF31" s="46">
        <v>110812</v>
      </c>
      <c r="AG31" s="46">
        <v>110813</v>
      </c>
      <c r="AH31" s="46">
        <v>110814</v>
      </c>
      <c r="AI31" s="46">
        <v>110815</v>
      </c>
      <c r="AJ31" s="46">
        <v>110816</v>
      </c>
      <c r="AK31" s="46">
        <v>110817</v>
      </c>
      <c r="AL31" s="46">
        <v>110818</v>
      </c>
      <c r="AM31" s="46">
        <v>110819</v>
      </c>
    </row>
    <row r="32" spans="1:39" ht="32.1" customHeight="1">
      <c r="A32" s="118"/>
      <c r="B32" s="96" t="str">
        <f>VLOOKUP("STK",Sprachindex!A:Z,Info!$O$6,FALSE)</f>
        <v>STK</v>
      </c>
      <c r="C32" s="95"/>
      <c r="D32" s="95">
        <f>IF(AND($N$9=2,$N$21=1),T32,IF(AND($N$9=2,$N$21=4),U32,IF(AND($N$9=2,$N$21=5),V32,IF(AND($N$9=2,$N$21=11),W32,IF(AND($N$9=2,$N$21=7),X32,IF(AND($N$9=2,$N$21=3),Y32,IF(AND($N$9=2,$N$21=6),Z32,IF(AND($N$9=2,$N$21=9),AA32,IF(AND($N$9=2,$N$21=2),AB32,IF(AND($N$9=2,$N$21=8),AC32,IF(AND($N$9=1,$N$21=1),AD32,IF(AND($N$9=1,$N$21=1),AD32,IF(AND($N$9=1,$N$21=4),AE32,IF(AND($N$9=1,$N$21=5),AF32,IF(AND($N$9=1,$N$21=11),AG32,IF(AND($N$9=1,$N$21=7),AH32,IF(AND($N$9=1,$N$21=3),AI32,IF(AND($N$9=1,$N$21=6),AJ32,IF(AND($N$9=1,$N$21=9),AK32,IF(AND($N$9=1,$N$21=2),AL32,IF(AND($N$9=1,$N$21=8),AM32,0)))))))))))))))))))))</f>
        <v>0</v>
      </c>
      <c r="E32" s="250" t="str">
        <f>VLOOKUP("Startplatte f. Dachraute 29x29",Sprachindex!A:Z,Info!$O$6,FALSE)</f>
        <v>Startplatte f. Dachraute 29x29</v>
      </c>
      <c r="F32" s="251"/>
      <c r="G32" s="251"/>
      <c r="H32" s="251"/>
      <c r="I32" s="251"/>
      <c r="J32" s="251"/>
      <c r="K32" s="257"/>
      <c r="L32" s="96" t="str">
        <f>IF(A32=0,"",IF($N$11=1,P32,Q32))</f>
        <v/>
      </c>
      <c r="M32" s="97"/>
      <c r="O32" s="1"/>
      <c r="P32" s="191" t="str">
        <f>ROUNDUP(ROUNDUP($A32/100,0)*100,1) &amp; " " &amp; Formeln!$A$111 &amp; "                     " &amp; "(="&amp;ROUNDUP(ROUNDUP($A32/100,0)*100/2.2,1) &amp; " " &amp; Formeln!$A$112 &amp; ")"</f>
        <v>0 STK                     (=0 lfm)</v>
      </c>
      <c r="Q32" s="191" t="str">
        <f>ROUNDUP($A32,0) &amp; " " &amp; Formeln!$A$111 &amp; "                     " &amp; "(="&amp; ROUNDUP(ROUNDUP($A32,0)/2.2,1)&amp; " " &amp; Formeln!$A$112 &amp; ")"</f>
        <v>0 STK                     (=0 lfm)</v>
      </c>
      <c r="T32" s="46">
        <v>110820</v>
      </c>
      <c r="U32" s="46">
        <v>110821</v>
      </c>
      <c r="V32" s="46">
        <v>110822</v>
      </c>
      <c r="W32" s="46">
        <v>110823</v>
      </c>
      <c r="X32" s="46">
        <v>110824</v>
      </c>
      <c r="Y32" s="46">
        <v>110825</v>
      </c>
      <c r="Z32" s="46">
        <v>110826</v>
      </c>
      <c r="AA32" s="46">
        <v>110827</v>
      </c>
      <c r="AB32" s="46">
        <v>110828</v>
      </c>
      <c r="AC32" s="46"/>
      <c r="AD32" s="46">
        <v>110830</v>
      </c>
      <c r="AE32" s="46">
        <v>110831</v>
      </c>
      <c r="AF32" s="46">
        <v>110832</v>
      </c>
      <c r="AG32" s="46">
        <v>110833</v>
      </c>
      <c r="AH32" s="46">
        <v>110834</v>
      </c>
      <c r="AI32" s="46">
        <v>110835</v>
      </c>
      <c r="AJ32" s="46">
        <v>110836</v>
      </c>
      <c r="AK32" s="46">
        <v>110837</v>
      </c>
      <c r="AL32" s="46">
        <v>110838</v>
      </c>
      <c r="AM32" s="46">
        <v>110839</v>
      </c>
    </row>
    <row r="33" spans="1:39" ht="32.1" customHeight="1">
      <c r="A33" s="118"/>
      <c r="B33" s="96" t="str">
        <f>VLOOKUP("STK",Sprachindex!A:Z,Info!$O$6,FALSE)</f>
        <v>STK</v>
      </c>
      <c r="C33" s="95"/>
      <c r="D33" s="95">
        <f>IF(AND($N$9=2,$N$21=1),T33,IF(AND($N$9=2,$N$21=4),U33,IF(AND($N$9=2,$N$21=5),V33,IF(AND($N$9=2,$N$21=11),W33,IF(AND($N$9=2,$N$21=7),X33,IF(AND($N$9=2,$N$21=3),Y33,IF(AND($N$9=2,$N$21=6),Z33,IF(AND($N$9=2,$N$21=9),AA33,IF(AND($N$9=2,$N$21=2),AB33,IF(AND($N$9=2,$N$21=8),AC33,IF(AND($N$9=1,$N$21=1),AD33,IF(AND($N$9=1,$N$21=1),AD33,IF(AND($N$9=1,$N$21=4),AE33,IF(AND($N$9=1,$N$21=5),AF33,IF(AND($N$9=1,$N$21=11),AG33,IF(AND($N$9=1,$N$21=7),AH33,IF(AND($N$9=1,$N$21=3),AI33,IF(AND($N$9=1,$N$21=6),AJ33,IF(AND($N$9=1,$N$21=9),AK33,IF(AND($N$9=1,$N$21=2),AL33,IF(AND($N$9=1,$N$21=8),AM33,0)))))))))))))))))))))</f>
        <v>0</v>
      </c>
      <c r="E33" s="250" t="str">
        <f>VLOOKUP("Endplatte f. Dachraute 29x29",Sprachindex!A:Z,Info!$O$6,FALSE)</f>
        <v>Endplatte f. Dachraute 29x29</v>
      </c>
      <c r="F33" s="251"/>
      <c r="G33" s="251"/>
      <c r="H33" s="251"/>
      <c r="I33" s="251"/>
      <c r="J33" s="251"/>
      <c r="K33" s="257"/>
      <c r="L33" s="96" t="str">
        <f>IF(A33=0,"",IF($N$11=1,P33,Q33))</f>
        <v/>
      </c>
      <c r="M33" s="97"/>
      <c r="O33" s="1"/>
      <c r="P33" s="191" t="str">
        <f>ROUNDUP(ROUNDUP($A33/100,0)*100,1) &amp; " " &amp; Formeln!$A$111 &amp; "                     " &amp; "(="&amp;ROUNDUP(ROUNDUP($A33/100,0)*100/2.2,1) &amp; " " &amp; Formeln!$A$112 &amp; ")"</f>
        <v>0 STK                     (=0 lfm)</v>
      </c>
      <c r="Q33" s="191" t="str">
        <f>ROUNDUP($A33,0) &amp; " " &amp; Formeln!$A$111 &amp; "                     " &amp; "(="&amp; ROUNDUP(ROUNDUP($A33,0)/2.2,1)&amp; " " &amp; Formeln!$A$112 &amp; ")"</f>
        <v>0 STK                     (=0 lfm)</v>
      </c>
      <c r="T33" s="46">
        <v>110840</v>
      </c>
      <c r="U33" s="46">
        <v>110841</v>
      </c>
      <c r="V33" s="46">
        <v>110842</v>
      </c>
      <c r="W33" s="46">
        <v>110843</v>
      </c>
      <c r="X33" s="46">
        <v>110844</v>
      </c>
      <c r="Y33" s="46">
        <v>110845</v>
      </c>
      <c r="Z33" s="46">
        <v>110846</v>
      </c>
      <c r="AA33" s="46">
        <v>110847</v>
      </c>
      <c r="AB33" s="46">
        <v>110848</v>
      </c>
      <c r="AC33" s="46"/>
      <c r="AD33" s="46">
        <v>110850</v>
      </c>
      <c r="AE33" s="46">
        <v>110851</v>
      </c>
      <c r="AF33" s="46">
        <v>110852</v>
      </c>
      <c r="AG33" s="46">
        <v>110853</v>
      </c>
      <c r="AH33" s="46">
        <v>110854</v>
      </c>
      <c r="AI33" s="46">
        <v>110855</v>
      </c>
      <c r="AJ33" s="46">
        <v>110856</v>
      </c>
      <c r="AK33" s="46">
        <v>110857</v>
      </c>
      <c r="AL33" s="46">
        <v>110858</v>
      </c>
      <c r="AM33" s="46">
        <v>110859</v>
      </c>
    </row>
    <row r="34" spans="1:39" ht="32.1" customHeight="1">
      <c r="A34" s="118"/>
      <c r="B34" s="96" t="str">
        <f>VLOOKUP("Stk",Sprachindex!A:Z,Info!$O$6,FALSE)</f>
        <v>STK</v>
      </c>
      <c r="C34" s="95"/>
      <c r="D34" s="95">
        <v>505003</v>
      </c>
      <c r="E34" s="250" t="str">
        <f>VLOOKUP("Dachrautenhaft 29 × 29",Sprachindex!A:Z,Info!$O$6,FALSE)</f>
        <v>Dachrautenhaft 29 × 29</v>
      </c>
      <c r="F34" s="251"/>
      <c r="G34" s="251"/>
      <c r="H34" s="251"/>
      <c r="I34" s="251"/>
      <c r="J34" s="251"/>
      <c r="K34" s="257"/>
      <c r="L34" s="96" t="str">
        <f>IF(A34=0,"",IF($N$11=1,P34,Q34))</f>
        <v/>
      </c>
      <c r="M34" s="97"/>
      <c r="O34" s="1"/>
      <c r="P34" s="191" t="str">
        <f>ROUNDUP($A34/320,0)*320 &amp; " " &amp; Formeln!$A$111</f>
        <v>0 STK</v>
      </c>
      <c r="Q34" s="191" t="str">
        <f>ROUNDUP($A34,0) &amp;" " &amp; Formeln!$A$111</f>
        <v>0 STK</v>
      </c>
    </row>
    <row r="35" spans="1:39" ht="32.1" customHeight="1">
      <c r="A35" s="118"/>
      <c r="B35" s="96" t="str">
        <f>VLOOKUP("lfm",Sprachindex!A:Z,Info!$O$6,FALSE)</f>
        <v>lfm</v>
      </c>
      <c r="C35" s="95"/>
      <c r="D35" s="99">
        <v>562005</v>
      </c>
      <c r="E35" s="250" t="str">
        <f>VLOOKUP("Saumstreifen 1x158x1800mm ",Sprachindex!A:Z,Info!$O$6,FALSE)</f>
        <v xml:space="preserve">Saumstreifen 1x158x1800mm </v>
      </c>
      <c r="F35" s="251"/>
      <c r="G35" s="251"/>
      <c r="H35" s="251"/>
      <c r="I35" s="251"/>
      <c r="J35" s="251"/>
      <c r="K35" s="257"/>
      <c r="L35" s="96" t="str">
        <f>IF(A35=0,"",IF($N$11=1,P35,Q35))</f>
        <v/>
      </c>
      <c r="M35" s="97"/>
      <c r="O35" s="1"/>
      <c r="P35" s="191" t="str">
        <f>ROUNDUP($A35/1.8,0)*1.8 &amp;" " &amp; Formeln!$A$112 &amp; "                " &amp; "(="&amp;ROUNDUP($A35/1.8,0) &amp; " " &amp;Formeln!$A$111 &amp; ")"</f>
        <v>0 lfm                (=0 STK)</v>
      </c>
      <c r="Q35" s="191" t="str">
        <f>ROUNDUP($A35/1.8,0)*1.8 &amp;" " &amp; Formeln!$A$112 &amp; "                " &amp; "(="&amp;ROUNDUP($A35/1.8,0) &amp; " " &amp;Formeln!$A$111 &amp; ")"</f>
        <v>0 lfm                (=0 STK)</v>
      </c>
    </row>
    <row r="36" spans="1:39" ht="32.1" customHeight="1">
      <c r="A36" s="118"/>
      <c r="B36" s="96" t="str">
        <f>VLOOKUP("kg",Sprachindex!A:Z,Info!$O$6,FALSE)</f>
        <v>kg</v>
      </c>
      <c r="C36" s="95"/>
      <c r="D36" s="95">
        <f>IF(H36=Formeln!A2,340392,IF(H36=Formeln!A3,340394,IF(H36=Formeln!A4,341392,0)))</f>
        <v>0</v>
      </c>
      <c r="E36" s="250" t="str">
        <f>VLOOKUP("Rillennägel, verzinkt",Sprachindex!A:Z,Info!$O$6,FALSE)</f>
        <v>Rillennägel, verzinkt</v>
      </c>
      <c r="F36" s="251"/>
      <c r="G36" s="251"/>
      <c r="H36" s="252"/>
      <c r="I36" s="267"/>
      <c r="J36" s="267"/>
      <c r="K36" s="253"/>
      <c r="L36" s="96" t="str">
        <f>IF(A36=0,"",IF(H36=Formeln!$A$1,"",IF($N$11=1,P36,Q36)))</f>
        <v/>
      </c>
      <c r="M36" s="97"/>
      <c r="O36" s="1"/>
      <c r="P36" s="190" t="str">
        <f>IF(OR($H36=Formeln!$A$2,$H36=Formeln!$A$3),ROUNDUP($A36/2.5,0)*2.5&amp;" "&amp;Formeln!$A$114&amp;"                  "&amp;"(="&amp;ROUNDUP($A36/2.5,0)*2.5*$R36&amp;" "&amp;Formeln!$A$111&amp;")",ROUNDUP($A36/2,0)*2&amp;" "&amp;Formeln!$A$114&amp;"                  "&amp;"(="&amp;ROUNDUP($A36/2,0)*2*$R36&amp;" "&amp;Formeln!$A$111&amp;"")</f>
        <v>0 kg                  (=0 STK</v>
      </c>
      <c r="Q36" s="190" t="str">
        <f>ROUNDUP($A36,2) &amp; " " &amp; Formeln!$A$114 &amp; "                     " &amp; "(="&amp;ROUNDUP($A36/0.5,1)*0.5*$R36 &amp;" " &amp; Formeln!$A$111 &amp; ")"</f>
        <v>0 kg                     (=0 STK)</v>
      </c>
      <c r="R36" s="6">
        <f>IF(H36=Formeln!A2,570,IF(H36=Formeln!A3,480,IF(H36=Formeln!A4,380,0)))</f>
        <v>0</v>
      </c>
    </row>
    <row r="37" spans="1:39" ht="32.1" customHeight="1">
      <c r="A37" s="118"/>
      <c r="B37" s="96" t="str">
        <f>VLOOKUP("Karton",Sprachindex!A:Z,Info!$O$6,FALSE)</f>
        <v>Karton</v>
      </c>
      <c r="C37" s="95"/>
      <c r="D37" s="95">
        <f>IF(H37=Formeln!A6,341395,IF(H37=Formeln!A7,341396,IF(H37=Formeln!A8,341398,0)))</f>
        <v>0</v>
      </c>
      <c r="E37" s="250" t="str">
        <f>VLOOKUP("Rillennägel gebunden",Sprachindex!A:Z,Info!$O$6,FALSE)</f>
        <v>Rillennägel gebunden</v>
      </c>
      <c r="F37" s="251"/>
      <c r="G37" s="251"/>
      <c r="H37" s="252"/>
      <c r="I37" s="267"/>
      <c r="J37" s="267"/>
      <c r="K37" s="253"/>
      <c r="L37" s="183" t="str">
        <f>IF($A37=0,"",IF($H37=Formeln!$A$5,"",IF($N$11=1,P37,Q37)))</f>
        <v/>
      </c>
      <c r="M37" s="97"/>
      <c r="O37" s="1"/>
      <c r="P37" s="190" t="str">
        <f>ROUNDUP($A37/$R37,0)*$R37 &amp; " " &amp; Formeln!$A$111 &amp; "        " &amp; "(="&amp; ROUNDUP($A37/$R37,0) &amp;" " &amp; Formeln!$A$113 &amp; ")"</f>
        <v>0 STK        (=0 Karton)</v>
      </c>
      <c r="Q37" s="191" t="str">
        <f>$A37&amp;" "&amp;Formeln!$A$111&amp;"                     " &amp; "(="&amp;ROUNDUP($A37/$R37,2)&amp;" "&amp;Formeln!$A$113&amp;")"</f>
        <v xml:space="preserve"> STK                     (=0 Karton)</v>
      </c>
      <c r="R37" s="6">
        <f>IF(H37=Formeln!A7,2400,3200)</f>
        <v>3200</v>
      </c>
    </row>
    <row r="38" spans="1:39" ht="32.1" customHeight="1">
      <c r="A38" s="118"/>
      <c r="B38" s="96" t="str">
        <f>VLOOKUP("lfm",Sprachindex!A:Z,Info!$O$6,FALSE)</f>
        <v>lfm</v>
      </c>
      <c r="C38" s="95"/>
      <c r="D38" s="95">
        <f>IF($N$21=1,T38,IF($N$21=4,U38,IF($N$21=5,V38,IF($N$21=11,W38,IF($N$21=7,X38,IF($N$21=3,Y38,IF($N$21=6,Z38,IF($N$21=9,AA38,IF($N$21=2,AB38,IF($N$21=8,AC38,0))))))))))</f>
        <v>0</v>
      </c>
      <c r="E38" s="250" t="str">
        <f>VLOOKUP("Einlaufblech",Sprachindex!A:Z,Info!$O$6,FALSE)</f>
        <v>Einlaufblech</v>
      </c>
      <c r="F38" s="251"/>
      <c r="G38" s="251"/>
      <c r="H38" s="251"/>
      <c r="I38" s="251"/>
      <c r="J38" s="251"/>
      <c r="K38" s="257"/>
      <c r="L38" s="96" t="str">
        <f t="shared" ref="L38:L48" si="0">IF(A38=0,"",IF($N$11=1,P38,Q38))</f>
        <v/>
      </c>
      <c r="M38" s="97"/>
      <c r="O38" s="1"/>
      <c r="P38" s="191" t="str">
        <f>ROUNDUP($A38/2,0)*2 &amp;" " &amp; Formeln!$A$112 &amp; "                " &amp; "(="&amp;ROUNDUP($A38/2,0) &amp; " " &amp;Formeln!$A$111 &amp; ")"</f>
        <v>0 lfm                (=0 STK)</v>
      </c>
      <c r="Q38" s="191" t="str">
        <f>ROUNDUP($A38/2,0)*2 &amp;" " &amp; Formeln!$A$112 &amp; "                " &amp; "(="&amp;ROUNDUP($A38/2,0) &amp; " " &amp;Formeln!$A$111 &amp; ")"</f>
        <v>0 lfm                (=0 STK)</v>
      </c>
      <c r="T38" s="46">
        <v>563004</v>
      </c>
      <c r="U38" s="46">
        <v>563006</v>
      </c>
      <c r="V38" s="46">
        <v>563001</v>
      </c>
      <c r="W38" s="46">
        <v>563005</v>
      </c>
      <c r="Y38" s="46">
        <v>563007</v>
      </c>
      <c r="Z38" s="46">
        <v>563016</v>
      </c>
      <c r="AA38" s="46">
        <v>563011</v>
      </c>
      <c r="AB38" s="46">
        <v>563017</v>
      </c>
      <c r="AC38" s="46"/>
    </row>
    <row r="39" spans="1:39" ht="32.1" customHeight="1">
      <c r="A39" s="118"/>
      <c r="B39" s="96" t="str">
        <f>VLOOKUP("lfm",Sprachindex!A:Z,Info!$O$6,FALSE)</f>
        <v>lfm</v>
      </c>
      <c r="C39" s="99"/>
      <c r="D39" s="99" t="str">
        <f>IF(H39=Formeln!A10,507400,IF(H39=Formeln!A11,507402,IF(H39=Formeln!A12,507411,IF(H39=Formeln!A13,"",0))))</f>
        <v/>
      </c>
      <c r="E39" s="250" t="str">
        <f>VLOOKUP("Lüftungsband",Sprachindex!A:Z,Info!$O$6,FALSE)</f>
        <v>Lüftungsband</v>
      </c>
      <c r="F39" s="251"/>
      <c r="G39" s="251"/>
      <c r="H39" s="252"/>
      <c r="I39" s="267"/>
      <c r="J39" s="267"/>
      <c r="K39" s="253"/>
      <c r="L39" s="96" t="str">
        <f>IF($H39=Formeln!$A$9," ",IF(A39=0,"",IF($N$11=1,P39,Q39)))</f>
        <v xml:space="preserve"> </v>
      </c>
      <c r="M39" s="97"/>
      <c r="O39" s="1"/>
      <c r="P39" s="191" t="str">
        <f>ROUNDUP($A39/40,0)*40 &amp;" " &amp; Formeln!$A$112</f>
        <v>0 lfm</v>
      </c>
      <c r="Q39" s="191" t="str">
        <f>$A39 &amp;" " &amp; Formeln!$A$112</f>
        <v xml:space="preserve"> lfm</v>
      </c>
      <c r="T39" s="47" t="s">
        <v>25</v>
      </c>
      <c r="U39" s="13"/>
      <c r="V39" s="13"/>
      <c r="W39" s="13"/>
      <c r="X39" s="13"/>
      <c r="Y39" s="13"/>
      <c r="Z39" s="13"/>
      <c r="AA39" s="13"/>
      <c r="AB39" s="13"/>
      <c r="AC39" s="13"/>
      <c r="AD39" s="47" t="s">
        <v>26</v>
      </c>
      <c r="AE39" s="13"/>
      <c r="AF39" s="13"/>
      <c r="AG39" s="13"/>
      <c r="AH39" s="13"/>
      <c r="AI39" s="13"/>
      <c r="AJ39" s="13"/>
      <c r="AK39" s="13"/>
      <c r="AL39" s="13"/>
      <c r="AM39" s="48"/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v>507300</v>
      </c>
      <c r="E40" s="250" t="str">
        <f>VLOOKUP("Vogelschutzgitter, Lochbreite 5mm, 0,70x125x2000mm, braun/anthrazit",Sprachindex!A:Z,Info!$O$6,FALSE)</f>
        <v>Vogelschutzgitter, Lochbreite 5mm, 0,70x125x2000mm, braun/anthrazit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"/>
      <c r="P40" s="191" t="str">
        <f>ROUNDUP($A40/2,0)*2 &amp;" " &amp; Formeln!$A$112 &amp; "                " &amp; "(="&amp;ROUNDUP($A40/2,0) &amp; " " &amp;Formeln!$A$111 &amp; ")"</f>
        <v>0 lfm                (=0 STK)</v>
      </c>
      <c r="Q40" s="191" t="str">
        <f>ROUNDUP($A40/2,0)*2 &amp;" " &amp; Formeln!$A$112 &amp; "                " &amp; "(="&amp;ROUNDUP($A40/2,0) &amp; " " &amp;Formeln!$A$111 &amp; ")"</f>
        <v>0 lfm                (=0 STK)</v>
      </c>
      <c r="T40" s="49" t="s">
        <v>29</v>
      </c>
      <c r="U40" s="49" t="s">
        <v>30</v>
      </c>
      <c r="V40" s="49" t="s">
        <v>31</v>
      </c>
      <c r="W40" s="49" t="s">
        <v>32</v>
      </c>
      <c r="X40" s="49" t="s">
        <v>33</v>
      </c>
      <c r="Y40" s="49" t="s">
        <v>34</v>
      </c>
      <c r="Z40" s="49" t="s">
        <v>35</v>
      </c>
      <c r="AA40" s="49" t="s">
        <v>36</v>
      </c>
      <c r="AB40" s="49" t="s">
        <v>37</v>
      </c>
      <c r="AC40" s="49" t="s">
        <v>38</v>
      </c>
      <c r="AD40" s="49" t="s">
        <v>29</v>
      </c>
      <c r="AE40" s="49" t="s">
        <v>30</v>
      </c>
      <c r="AF40" s="49" t="s">
        <v>31</v>
      </c>
      <c r="AG40" s="49" t="s">
        <v>32</v>
      </c>
      <c r="AH40" s="49" t="s">
        <v>33</v>
      </c>
      <c r="AI40" s="49" t="s">
        <v>34</v>
      </c>
      <c r="AJ40" s="49" t="s">
        <v>35</v>
      </c>
      <c r="AK40" s="49" t="s">
        <v>36</v>
      </c>
      <c r="AL40" s="49" t="s">
        <v>37</v>
      </c>
      <c r="AM40" s="49" t="s">
        <v>38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>IF(AND($N$9=2,$N$21=1),T41,IF(AND($N$9=2,$N$21=4),U41,IF(AND($N$9=2,$N$21=5),V41,IF(AND($N$9=2,$N$21=11),W41,IF(AND($N$9=2,$N$21=7),X41,IF(AND($N$9=2,$N$21=3),Y41,IF(AND($N$9=2,$N$21=6),Z41,IF(AND($N$9=2,$N$21=9),AA41,IF(AND($N$9=2,$N$21=2),AB41,IF(AND($N$9=2,$N$21=8),AC41,IF(AND($N$9=1,$N$21=1),AD41,IF(AND($N$9=1,$N$21=1),AD41,IF(AND($N$9=1,$N$21=4),AE41,IF(AND($N$9=1,$N$21=5),AF41,IF(AND($N$9=1,$N$21=11),AG41,IF(AND($N$9=1,$N$21=7),AH41,IF(AND($N$9=1,$N$21=3),AI41,IF(AND($N$9=1,$N$21=6),AJ41,IF(AND($N$9=1,$N$21=9),AK41,IF(AND($N$9=1,$N$21=2),AL41,IF(AND($N$9=1,$N$21=8),AM41,0)))))))))))))))))))))</f>
        <v>0</v>
      </c>
      <c r="E41" s="250" t="str">
        <f>VLOOKUP("Ortgangstreifen, 0,70x95x2000mm",Sprachindex!A:Z,Info!$O$6,FALSE)</f>
        <v>Ortgangstreifen, 0,70x95x2000mm</v>
      </c>
      <c r="F41" s="251"/>
      <c r="G41" s="251"/>
      <c r="H41" s="251"/>
      <c r="I41" s="251"/>
      <c r="J41" s="251"/>
      <c r="K41" s="257"/>
      <c r="L41" s="96" t="str">
        <f t="shared" si="0"/>
        <v/>
      </c>
      <c r="M41" s="97"/>
      <c r="O41" s="1"/>
      <c r="P41" s="191" t="str">
        <f>ROUNDUP($A41/2,0)*2 &amp;" " &amp; Formeln!$A$112 &amp; "                " &amp; "(="&amp;ROUNDUP($A41/2,0) &amp; " " &amp;Formeln!$A$111 &amp; ")"</f>
        <v>0 lfm                (=0 STK)</v>
      </c>
      <c r="Q41" s="191" t="str">
        <f>ROUNDUP($A41/2,0)*2 &amp;" " &amp; Formeln!$A$112 &amp; "                " &amp; "(="&amp;ROUNDUP($A41/2,0) &amp; " " &amp;Formeln!$A$111 &amp; ")"</f>
        <v>0 lfm                (=0 STK)</v>
      </c>
      <c r="T41" s="46">
        <v>110500</v>
      </c>
      <c r="U41" s="46">
        <v>110501</v>
      </c>
      <c r="V41" s="46">
        <v>110502</v>
      </c>
      <c r="W41" s="46">
        <v>110503</v>
      </c>
      <c r="X41" s="46">
        <v>110504</v>
      </c>
      <c r="Y41" s="46">
        <v>110505</v>
      </c>
      <c r="Z41" s="46">
        <v>110506</v>
      </c>
      <c r="AA41" s="46">
        <v>110507</v>
      </c>
      <c r="AB41" s="46">
        <v>110508</v>
      </c>
      <c r="AC41" s="46"/>
      <c r="AD41" s="46">
        <v>110510</v>
      </c>
      <c r="AE41" s="46">
        <v>110511</v>
      </c>
      <c r="AF41" s="46">
        <v>110512</v>
      </c>
      <c r="AG41" s="46">
        <v>110513</v>
      </c>
      <c r="AH41" s="46">
        <v>110514</v>
      </c>
      <c r="AI41" s="46">
        <v>110515</v>
      </c>
      <c r="AJ41" s="46">
        <v>110516</v>
      </c>
      <c r="AK41" s="46">
        <v>110517</v>
      </c>
      <c r="AL41" s="46">
        <v>110518</v>
      </c>
      <c r="AM41" s="1">
        <v>110519</v>
      </c>
    </row>
    <row r="42" spans="1:39" ht="32.1" customHeight="1">
      <c r="A42" s="118"/>
      <c r="B42" s="96" t="str">
        <f>VLOOKUP("lfm",Sprachindex!A:Z,Info!$O$6,FALSE)</f>
        <v>lfm</v>
      </c>
      <c r="C42" s="95"/>
      <c r="D42" s="95">
        <f t="shared" ref="D42:D47" si="1">IF(AND($N$9=2,$N$21=1),T42,IF(AND($N$9=2,$N$21=4),U42,IF(AND($N$9=2,$N$21=5),V42,IF(AND($N$9=2,$N$21=11),W42,IF(AND($N$9=2,$N$21=7),X42,IF(AND($N$9=2,$N$21=3),Y42,IF(AND($N$9=2,$N$21=6),Z42,IF(AND($N$9=2,$N$21=9),AA42,IF(AND($N$9=2,$N$21=2),AB42,IF(AND($N$9=2,$N$21=8),AC42,IF(AND($N$9=1,$N$21=1),AD42,IF(AND($N$9=1,$N$21=1),AD42,IF(AND($N$9=1,$N$21=4),AE42,IF(AND($N$9=1,$N$21=5),AF42,IF(AND($N$9=1,$N$21=11),AG42,IF(AND($N$9=1,$N$21=7),AH42,IF(AND($N$9=1,$N$21=3),AI42,IF(AND($N$9=1,$N$21=6),AJ42,IF(AND($N$9=1,$N$21=9),AK42,IF(AND($N$9=1,$N$21=2),AL42,IF(AND($N$9=1,$N$21=8),AM42,0)))))))))))))))))))))</f>
        <v>0</v>
      </c>
      <c r="E42" s="250" t="str">
        <f>VLOOKUP("Sicherheitskehle 3m lang",Sprachindex!A:Z,Info!$O$6,FALSE)</f>
        <v>Sicherheitskehle 3m lang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"/>
      <c r="P42" s="191" t="str">
        <f>ROUNDUP($A42/3,0)*3 &amp;" " &amp; Formeln!$A$112 &amp; "                " &amp; "(="&amp;ROUNDUP($A42/3,0) &amp; " " &amp;Formeln!$A$111 &amp; ")"</f>
        <v>0 lfm                (=0 STK)</v>
      </c>
      <c r="Q42" s="191" t="str">
        <f>ROUNDUP($A42/3,0)*3 &amp;" " &amp; Formeln!$A$112 &amp; "                " &amp; "(="&amp;ROUNDUP($A42/3,0) &amp; " " &amp;Formeln!$A$111 &amp; ")"</f>
        <v>0 lfm                (=0 STK)</v>
      </c>
      <c r="T42" s="46">
        <v>110520</v>
      </c>
      <c r="U42" s="46">
        <v>110521</v>
      </c>
      <c r="V42" s="46">
        <v>110522</v>
      </c>
      <c r="W42" s="46">
        <v>110523</v>
      </c>
      <c r="X42" s="46">
        <v>110524</v>
      </c>
      <c r="Y42" s="46">
        <v>110525</v>
      </c>
      <c r="Z42" s="46">
        <v>110526</v>
      </c>
      <c r="AA42" s="46">
        <v>110527</v>
      </c>
      <c r="AB42" s="46">
        <v>110528</v>
      </c>
      <c r="AD42" s="46">
        <v>110530</v>
      </c>
      <c r="AE42" s="46">
        <v>110531</v>
      </c>
      <c r="AF42" s="46">
        <v>110532</v>
      </c>
      <c r="AG42" s="46">
        <v>110533</v>
      </c>
      <c r="AH42" s="46">
        <v>110534</v>
      </c>
      <c r="AI42" s="46">
        <v>110535</v>
      </c>
      <c r="AJ42" s="46">
        <v>110536</v>
      </c>
      <c r="AK42" s="46">
        <v>110537</v>
      </c>
      <c r="AL42" s="46">
        <v>110538</v>
      </c>
      <c r="AM42" s="1">
        <v>110539</v>
      </c>
    </row>
    <row r="43" spans="1:39" ht="32.1" customHeight="1">
      <c r="A43" s="118"/>
      <c r="B43" s="96" t="str">
        <f>VLOOKUP("lfm",Sprachindex!A:Z,Info!$O$6,FALSE)</f>
        <v>lfm</v>
      </c>
      <c r="C43" s="95"/>
      <c r="D43" s="95">
        <f t="shared" si="1"/>
        <v>0</v>
      </c>
      <c r="E43" s="250" t="str">
        <f>VLOOKUP("Grat-Firstreiter inkl. Dichtschrauben ",Sprachindex!A:Z,Info!$O$6,FALSE)</f>
        <v xml:space="preserve">Grat-Firstreiter inkl. Dichtschrauben </v>
      </c>
      <c r="F43" s="251"/>
      <c r="G43" s="251"/>
      <c r="H43" s="251"/>
      <c r="I43" s="251"/>
      <c r="J43" s="251"/>
      <c r="K43" s="257"/>
      <c r="L43" s="96" t="str">
        <f>IF(A43=0,"",IF($N$11=1,P43,Q43))</f>
        <v/>
      </c>
      <c r="M43" s="97"/>
      <c r="O43" s="1"/>
      <c r="P43" s="191" t="str">
        <f>ROUNDUP($A43/10,0)*10 &amp;" " &amp; Formeln!$A$112 &amp; "                     " &amp; "(="&amp;ROUNDUP($A43/10,0)*10/0.5 &amp; " " &amp; Formeln!$A$111 &amp; ")"</f>
        <v>0 lfm                     (=0 STK)</v>
      </c>
      <c r="Q43" s="191" t="str">
        <f>ROUNDUP($A43/0.5,0)*0.5 &amp;" " &amp; Formeln!$A$112 &amp; "                     " &amp; "(="&amp;ROUNDUP($A43/0.5,0)&amp; " " &amp; Formeln!$A$111 &amp; ")"</f>
        <v>0 lfm                     (=0 STK)</v>
      </c>
      <c r="T43" s="46">
        <v>110340</v>
      </c>
      <c r="U43" s="46">
        <v>110341</v>
      </c>
      <c r="V43" s="46">
        <v>110342</v>
      </c>
      <c r="W43" s="46">
        <v>110343</v>
      </c>
      <c r="X43" s="46">
        <v>110344</v>
      </c>
      <c r="Y43" s="46">
        <v>110345</v>
      </c>
      <c r="Z43" s="46">
        <v>110346</v>
      </c>
      <c r="AA43" s="46">
        <v>110347</v>
      </c>
      <c r="AB43" s="46">
        <v>110348</v>
      </c>
      <c r="AC43" s="46"/>
      <c r="AD43" s="46">
        <v>110350</v>
      </c>
      <c r="AE43" s="46">
        <v>110351</v>
      </c>
      <c r="AF43" s="46">
        <v>110352</v>
      </c>
      <c r="AG43" s="46">
        <v>110353</v>
      </c>
      <c r="AH43" s="46">
        <v>110354</v>
      </c>
      <c r="AI43" s="46">
        <v>110355</v>
      </c>
      <c r="AJ43" s="46">
        <v>110356</v>
      </c>
      <c r="AK43" s="46">
        <v>110357</v>
      </c>
      <c r="AL43" s="46">
        <v>110358</v>
      </c>
      <c r="AM43" s="1">
        <v>110359</v>
      </c>
    </row>
    <row r="44" spans="1:39" ht="32.1" customHeight="1">
      <c r="A44" s="118"/>
      <c r="B44" s="96" t="str">
        <f>VLOOKUP("Stk",Sprachindex!A:Z,Info!$O$6,FALSE)</f>
        <v>STK</v>
      </c>
      <c r="C44" s="95"/>
      <c r="D44" s="95">
        <f t="shared" si="1"/>
        <v>0</v>
      </c>
      <c r="E44" s="250" t="str">
        <f>VLOOKUP("Gratreitervorkopf",Sprachindex!A:Z,Info!$O$6,FALSE)</f>
        <v>Gratreitervorkopf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"/>
      <c r="P44" s="191" t="str">
        <f>ROUNDUP($A44/10,0)*10 &amp;" " &amp; Formeln!$A$111</f>
        <v>0 STK</v>
      </c>
      <c r="Q44" s="191" t="str">
        <f>ROUNDUP($A44/1,0)*1 &amp;" " &amp; Formeln!$A$111</f>
        <v>0 STK</v>
      </c>
      <c r="T44" s="46">
        <v>110320</v>
      </c>
      <c r="U44" s="46">
        <v>110321</v>
      </c>
      <c r="V44" s="46">
        <v>110322</v>
      </c>
      <c r="W44" s="46">
        <v>110323</v>
      </c>
      <c r="X44" s="46">
        <v>110324</v>
      </c>
      <c r="Y44" s="46">
        <v>110325</v>
      </c>
      <c r="Z44" s="46">
        <v>110326</v>
      </c>
      <c r="AA44" s="46">
        <v>110327</v>
      </c>
      <c r="AB44" s="46">
        <v>110328</v>
      </c>
      <c r="AC44" s="46"/>
      <c r="AD44" s="46">
        <v>110330</v>
      </c>
      <c r="AE44" s="46">
        <v>110331</v>
      </c>
      <c r="AF44" s="46">
        <v>110332</v>
      </c>
      <c r="AG44" s="46">
        <v>110333</v>
      </c>
      <c r="AH44" s="46">
        <v>110334</v>
      </c>
      <c r="AI44" s="46">
        <v>110335</v>
      </c>
      <c r="AJ44" s="46">
        <v>110336</v>
      </c>
      <c r="AK44" s="46">
        <v>110337</v>
      </c>
      <c r="AL44" s="46">
        <v>110338</v>
      </c>
      <c r="AM44" s="46">
        <v>110339</v>
      </c>
    </row>
    <row r="45" spans="1:39" ht="32.1" customHeight="1">
      <c r="A45" s="118"/>
      <c r="B45" s="96" t="str">
        <f>VLOOKUP("lfm",Sprachindex!A:Z,Info!$O$6,FALSE)</f>
        <v>lfm</v>
      </c>
      <c r="C45" s="95"/>
      <c r="D45" s="95">
        <f t="shared" si="1"/>
        <v>0</v>
      </c>
      <c r="E45" s="250" t="str">
        <f>VLOOKUP("Jet-Lüfter 1.2m lang",Sprachindex!A:Z,Info!$O$6,FALSE)</f>
        <v>Jet-Lüfter 1.2m lang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"/>
      <c r="P45" s="191" t="str">
        <f>ROUNDUP($A45/1.2,0)*1.2 &amp;" " &amp; Formeln!$A$112 &amp; "                " &amp; "(="&amp;ROUNDUP($A45/1.2,0) &amp; " " &amp;Formeln!$A$111 &amp; ")"</f>
        <v>0 lfm                (=0 STK)</v>
      </c>
      <c r="Q45" s="191" t="str">
        <f>ROUNDUP($A45/1.2,0)*1.2 &amp;" " &amp; Formeln!$A$112 &amp; "                " &amp; "(="&amp;ROUNDUP($A45/1.2,0) &amp; " " &amp;Formeln!$A$111 &amp; ")"</f>
        <v>0 lfm                (=0 STK)</v>
      </c>
      <c r="T45" s="46">
        <v>110640</v>
      </c>
      <c r="U45" s="46">
        <v>110641</v>
      </c>
      <c r="V45" s="46">
        <v>110642</v>
      </c>
      <c r="W45" s="46">
        <v>110643</v>
      </c>
      <c r="X45" s="46">
        <v>110644</v>
      </c>
      <c r="Y45" s="46">
        <v>110645</v>
      </c>
      <c r="Z45" s="46">
        <v>110646</v>
      </c>
      <c r="AA45" s="46">
        <v>110647</v>
      </c>
      <c r="AB45" s="46">
        <v>110648</v>
      </c>
      <c r="AC45" s="46"/>
      <c r="AD45" s="46">
        <v>110650</v>
      </c>
      <c r="AE45" s="46">
        <v>110651</v>
      </c>
      <c r="AF45" s="46">
        <v>110652</v>
      </c>
      <c r="AG45" s="46">
        <v>110653</v>
      </c>
      <c r="AH45" s="46">
        <v>110654</v>
      </c>
      <c r="AI45" s="46">
        <v>110655</v>
      </c>
      <c r="AJ45" s="46">
        <v>110656</v>
      </c>
      <c r="AK45" s="46">
        <v>110657</v>
      </c>
      <c r="AL45" s="46">
        <v>110658</v>
      </c>
      <c r="AM45" s="46">
        <v>110659</v>
      </c>
    </row>
    <row r="46" spans="1:39" ht="32.1" customHeight="1">
      <c r="A46" s="118"/>
      <c r="B46" s="96" t="str">
        <f>VLOOKUP("lfm",Sprachindex!A:Z,Info!$O$6,FALSE)</f>
        <v>lfm</v>
      </c>
      <c r="C46" s="95"/>
      <c r="D46" s="95">
        <f t="shared" si="1"/>
        <v>0</v>
      </c>
      <c r="E46" s="250" t="str">
        <f>VLOOKUP("Jet-Lüfter",Sprachindex!A:Z,Info!$O$6,FALSE)</f>
        <v>Jet-Lüfter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"/>
      <c r="P46" s="191" t="str">
        <f>ROUNDUP($A46/9,0)*9 &amp;" " &amp; Formeln!$A$112 &amp; "                " &amp; "(="&amp;ROUNDUP($A46/9,0)*3 &amp; " " &amp;Formeln!$A$111 &amp; ")"</f>
        <v>0 lfm                (=0 STK)</v>
      </c>
      <c r="Q46" s="191" t="str">
        <f>ROUNDUP($A46/3,0)*3 &amp;" " &amp; Formeln!$A$112 &amp; "                " &amp; "(="&amp;ROUNDUP($A46/3,0) &amp; " " &amp;Formeln!$A$111 &amp; ")"</f>
        <v>0 lfm                (=0 STK)</v>
      </c>
      <c r="T46" s="46">
        <v>110620</v>
      </c>
      <c r="U46" s="46">
        <v>110621</v>
      </c>
      <c r="V46" s="46">
        <v>110622</v>
      </c>
      <c r="W46" s="46">
        <v>110623</v>
      </c>
      <c r="X46" s="46">
        <v>110624</v>
      </c>
      <c r="Y46" s="46">
        <v>110625</v>
      </c>
      <c r="Z46" s="46">
        <v>110626</v>
      </c>
      <c r="AA46" s="46">
        <v>110627</v>
      </c>
      <c r="AB46" s="46">
        <v>110628</v>
      </c>
      <c r="AC46" s="46"/>
      <c r="AD46" s="46">
        <v>110630</v>
      </c>
      <c r="AE46" s="46">
        <v>110631</v>
      </c>
      <c r="AF46" s="46">
        <v>110632</v>
      </c>
      <c r="AG46" s="46">
        <v>110633</v>
      </c>
      <c r="AH46" s="46">
        <v>110634</v>
      </c>
      <c r="AI46" s="46">
        <v>110635</v>
      </c>
      <c r="AJ46" s="46">
        <v>110636</v>
      </c>
      <c r="AK46" s="46">
        <v>110637</v>
      </c>
      <c r="AL46" s="46">
        <v>110638</v>
      </c>
      <c r="AM46" s="46">
        <v>110639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 t="shared" si="1"/>
        <v>0</v>
      </c>
      <c r="E47" s="250" t="str">
        <f>VLOOKUP("Jet-Lüfter-Vorkopf",Sprachindex!A:Z,Info!$O$6,FALSE)</f>
        <v>Jet-Lüfter-Vorkopf</v>
      </c>
      <c r="F47" s="251"/>
      <c r="G47" s="251"/>
      <c r="H47" s="251"/>
      <c r="I47" s="251"/>
      <c r="J47" s="251"/>
      <c r="K47" s="257"/>
      <c r="L47" s="96" t="str">
        <f t="shared" si="0"/>
        <v/>
      </c>
      <c r="M47" s="97"/>
      <c r="O47" s="1"/>
      <c r="P47" s="191" t="str">
        <f>ROUNDUP($A47/2,0)*2 &amp;" " &amp; Formeln!$A$111</f>
        <v>0 STK</v>
      </c>
      <c r="Q47" s="191" t="str">
        <f>ROUNDUP($A47/1,0)*1 &amp;" " &amp; Formeln!$A$111</f>
        <v>0 STK</v>
      </c>
      <c r="T47" s="46">
        <v>110600</v>
      </c>
      <c r="U47" s="46">
        <v>110601</v>
      </c>
      <c r="V47" s="46">
        <v>110602</v>
      </c>
      <c r="W47" s="46">
        <v>110603</v>
      </c>
      <c r="X47" s="46">
        <v>110604</v>
      </c>
      <c r="Y47" s="46">
        <v>110605</v>
      </c>
      <c r="Z47" s="46">
        <v>110606</v>
      </c>
      <c r="AA47" s="46">
        <v>110607</v>
      </c>
      <c r="AB47" s="46">
        <v>110608</v>
      </c>
      <c r="AC47" s="46"/>
      <c r="AD47" s="46">
        <v>110610</v>
      </c>
      <c r="AE47" s="46">
        <v>110611</v>
      </c>
      <c r="AF47" s="46">
        <v>110612</v>
      </c>
      <c r="AG47" s="46">
        <v>110613</v>
      </c>
      <c r="AH47" s="46">
        <v>110614</v>
      </c>
      <c r="AI47" s="46">
        <v>110615</v>
      </c>
      <c r="AJ47" s="46">
        <v>110616</v>
      </c>
      <c r="AK47" s="46">
        <v>110617</v>
      </c>
      <c r="AL47" s="46">
        <v>110618</v>
      </c>
      <c r="AM47" s="46">
        <v>110619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IF($N$21=1,T48,IF($N$21=4,U48,IF($N$21=5,V48,IF($N$21=11,W48,IF($N$21=7,X48,IF($N$21=3,Y48,IF($N$21=6,Z48,IF($N$21=9,AA48,IF($N$21=2,AB48,IF($N$21=8,AC48,0))))))))))</f>
        <v>0</v>
      </c>
      <c r="E48" s="250" t="str">
        <f>VLOOKUP("Dichtschraube NIRO, 4,5x25",Sprachindex!A:Z,Info!$O$6,FALSE)</f>
        <v>Dichtschraube NIRO, 4,5x25</v>
      </c>
      <c r="F48" s="251"/>
      <c r="G48" s="251"/>
      <c r="H48" s="251"/>
      <c r="I48" s="251"/>
      <c r="J48" s="251"/>
      <c r="K48" s="257"/>
      <c r="L48" s="96" t="str">
        <f t="shared" si="0"/>
        <v/>
      </c>
      <c r="M48" s="97"/>
      <c r="O48" s="1"/>
      <c r="P48" s="191" t="str">
        <f>ROUNDUP($A48/200,0)*200 &amp;" " &amp; Formeln!$A$111</f>
        <v>0 STK</v>
      </c>
      <c r="Q48" s="191" t="str">
        <f>ROUNDUP($A48,0) &amp;" " &amp; Formeln!$A$111</f>
        <v>0 STK</v>
      </c>
      <c r="T48" s="46">
        <v>340041</v>
      </c>
      <c r="U48" s="46">
        <v>340042</v>
      </c>
      <c r="V48" s="46">
        <v>340043</v>
      </c>
      <c r="W48" s="46">
        <v>340044</v>
      </c>
      <c r="X48" s="179"/>
      <c r="Y48" s="46">
        <v>340045</v>
      </c>
      <c r="Z48" s="46">
        <v>340046</v>
      </c>
      <c r="AA48" s="46">
        <v>340047</v>
      </c>
      <c r="AB48" s="46">
        <v>340048</v>
      </c>
      <c r="AC48" s="46">
        <v>340049</v>
      </c>
      <c r="AD48" s="1" t="s">
        <v>48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IF(H49=Formeln!A15,IF($N$21=1,T49,IF($N$21=4,U49,IF($N$21=5,V49,IF($N$21=11,W49,IF($N$21=7,X49,IF($N$21=3,Y49,IF($N$21=6,Z49,IF($N$21=9,AA49,IF($N$21=2,AB49,IF($N$21=8,AC49,0)))))))))),IF(H49=Formeln!A16,AD49,0))</f>
        <v>0</v>
      </c>
      <c r="E49" s="250" t="str">
        <f>VLOOKUP("Dichtschraube NIRO",Sprachindex!A:Z,Info!$O$6,FALSE)</f>
        <v>Dichtschraube NIRO</v>
      </c>
      <c r="F49" s="251"/>
      <c r="G49" s="251"/>
      <c r="H49" s="252"/>
      <c r="I49" s="267"/>
      <c r="J49" s="267"/>
      <c r="K49" s="253"/>
      <c r="L49" s="96" t="str">
        <f>IF(A49=0,"",IF(H49=Formeln!$A$14," ",IF($N$11=1,P49,Q49)))</f>
        <v/>
      </c>
      <c r="M49" s="97"/>
      <c r="O49" s="1"/>
      <c r="P49" s="191" t="str">
        <f>ROUNDUP($A49/250,0)*250 &amp;" " &amp; Formeln!$A$111</f>
        <v>0 STK</v>
      </c>
      <c r="Q49" s="191" t="str">
        <f>ROUNDUP($A49,0) &amp;" " &amp; Formeln!$A$111</f>
        <v>0 STK</v>
      </c>
      <c r="T49" s="46">
        <v>340001</v>
      </c>
      <c r="U49" s="46">
        <v>340004</v>
      </c>
      <c r="V49" s="46">
        <v>340003</v>
      </c>
      <c r="W49" s="46">
        <v>340104</v>
      </c>
      <c r="Y49" s="46">
        <v>340002</v>
      </c>
      <c r="Z49" s="46">
        <v>340016</v>
      </c>
      <c r="AA49" s="46">
        <v>340011</v>
      </c>
      <c r="AB49" s="46">
        <v>340014</v>
      </c>
      <c r="AC49" s="46">
        <v>340013</v>
      </c>
      <c r="AD49" s="1">
        <v>340103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f>IF(H50=Formeln!A18,IF($N$21=1,T50,IF($N$21=4,U50,IF($N$21=5,V50,IF($N$21=11,W50,IF($N$21=7,X50,IF($N$21=3,Y50,IF($N$21=6,Z50,IF($N$21=9,AA50,IF($N$21=2,AB50,IF($N$21=8,AC50,0)))))))))),IF(H50=Formeln!A19,AD50,0))</f>
        <v>0</v>
      </c>
      <c r="E50" s="250" t="str">
        <f>VLOOKUP("Dichtschraube NIRO",Sprachindex!A:Z,Info!$O$6,FALSE)</f>
        <v>Dichtschraube NIRO</v>
      </c>
      <c r="F50" s="251"/>
      <c r="G50" s="251"/>
      <c r="H50" s="252"/>
      <c r="I50" s="267"/>
      <c r="J50" s="267"/>
      <c r="K50" s="253"/>
      <c r="L50" s="96" t="str">
        <f>IF(A50=0,"",IF(H50=Formeln!$A$14," ",IF($N$11=1,P50,Q50)))</f>
        <v/>
      </c>
      <c r="M50" s="97"/>
      <c r="O50" s="1"/>
      <c r="P50" s="191" t="str">
        <f>ROUNDUP($A50/100,0)*100 &amp;" " &amp; Formeln!$A$111</f>
        <v>0 STK</v>
      </c>
      <c r="Q50" s="191" t="str">
        <f>ROUNDUP($A50,0) &amp;" " &amp; Formeln!$A$111</f>
        <v>0 STK</v>
      </c>
      <c r="T50" s="46">
        <v>340020</v>
      </c>
      <c r="U50" s="46">
        <v>340024</v>
      </c>
      <c r="V50" s="46">
        <v>340022</v>
      </c>
      <c r="W50" s="46">
        <v>340021</v>
      </c>
      <c r="Y50" s="46">
        <v>340025</v>
      </c>
      <c r="Z50" s="46">
        <v>340032</v>
      </c>
      <c r="AA50" s="46">
        <v>340027</v>
      </c>
      <c r="AB50" s="46">
        <v>340030</v>
      </c>
      <c r="AC50" s="46">
        <v>340036</v>
      </c>
      <c r="AD50" s="1">
        <v>340106</v>
      </c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f>IF($N$21=1,T51,IF($N$21=4,U51,IF($N$21=5,V51,IF($N$21=11,W51,IF($N$21=7,X51,IF($N$21=3,Y51,IF($N$21=6,Z51,IF($N$21=9,AA51,IF($N$21=2,AB51,IF($N$21=8,AC51,0))))))))))</f>
        <v>0</v>
      </c>
      <c r="E51" s="250" t="str">
        <f>VLOOKUP("Froschmaullukenhaube",Sprachindex!A:Z,Info!$O$6,FALSE)</f>
        <v>Froschmaullukenhaube</v>
      </c>
      <c r="F51" s="251"/>
      <c r="G51" s="251"/>
      <c r="H51" s="251"/>
      <c r="I51" s="251"/>
      <c r="J51" s="251"/>
      <c r="K51" s="257"/>
      <c r="L51" s="96" t="str">
        <f t="shared" ref="L51:L96" si="2">IF(A51=0,"",IF($N$11=1,P51,Q51))</f>
        <v/>
      </c>
      <c r="M51" s="97"/>
      <c r="O51" s="1"/>
      <c r="P51" s="191" t="str">
        <f>ROUNDUP($A51/20,0)*20 &amp;" " &amp; Formeln!$A$111</f>
        <v>0 STK</v>
      </c>
      <c r="Q51" s="191" t="str">
        <f>ROUNDUP($A51,0) &amp;" " &amp; Formeln!$A$111</f>
        <v>0 STK</v>
      </c>
      <c r="T51" s="46">
        <v>110100</v>
      </c>
      <c r="U51" s="46">
        <v>110101</v>
      </c>
      <c r="V51" s="46">
        <v>110102</v>
      </c>
      <c r="W51" s="46">
        <v>110103</v>
      </c>
      <c r="X51" s="46">
        <v>110104</v>
      </c>
      <c r="Y51" s="46">
        <v>110105</v>
      </c>
      <c r="Z51" s="46">
        <v>110106</v>
      </c>
      <c r="AA51" s="46">
        <v>110107</v>
      </c>
      <c r="AB51" s="46">
        <v>110108</v>
      </c>
      <c r="AC51" s="46">
        <v>121005</v>
      </c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f>IF($N$21=1,T52,IF($N$21=4,U52,IF($N$21=5,V52,IF($N$21=11,W52,IF($N$21=7,X52,IF($N$21=3,Y52,IF($N$21=6,Z52,IF($N$21=9,AA52,IF($N$21=2,AB52,IF($N$21=8,AC52,0))))))))))</f>
        <v>0</v>
      </c>
      <c r="E52" s="250" t="str">
        <f>VLOOKUP("Froschmaulluke, für Dachraute 29x29",Sprachindex!A:Z,Info!$O$6,FALSE)</f>
        <v>Froschmaulluke, für Dachraute 29x29</v>
      </c>
      <c r="F52" s="251"/>
      <c r="G52" s="251"/>
      <c r="H52" s="251"/>
      <c r="I52" s="251"/>
      <c r="J52" s="251"/>
      <c r="K52" s="257"/>
      <c r="L52" s="96" t="str">
        <f t="shared" si="2"/>
        <v/>
      </c>
      <c r="M52" s="97"/>
      <c r="O52" s="1"/>
      <c r="P52" s="191" t="str">
        <f>ROUNDUP($A52/10,0)*10 &amp;" " &amp; Formeln!$A$111</f>
        <v>0 STK</v>
      </c>
      <c r="Q52" s="191" t="str">
        <f>ROUNDUP($A52,0) &amp;" " &amp; Formeln!$A$111</f>
        <v>0 STK</v>
      </c>
      <c r="T52" s="46">
        <v>110160</v>
      </c>
      <c r="U52" s="46">
        <v>110161</v>
      </c>
      <c r="V52" s="46">
        <v>110162</v>
      </c>
      <c r="W52" s="46">
        <v>110163</v>
      </c>
      <c r="X52" s="46">
        <v>110164</v>
      </c>
      <c r="Y52" s="46">
        <v>110165</v>
      </c>
      <c r="Z52" s="46">
        <v>110166</v>
      </c>
      <c r="AA52" s="46">
        <v>110167</v>
      </c>
      <c r="AB52" s="46">
        <v>110168</v>
      </c>
      <c r="AC52" s="46">
        <v>110164</v>
      </c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v>545106</v>
      </c>
      <c r="E53" s="261" t="str">
        <f>VLOOKUP("Einfassung Vario, 120-600 mm, stucco",Sprachindex!A:Z,Info!$O$6,FALSE)</f>
        <v>Einfassung Vario, 120-600 mm, stucco</v>
      </c>
      <c r="F53" s="262"/>
      <c r="G53" s="262"/>
      <c r="H53" s="262"/>
      <c r="I53" s="262"/>
      <c r="J53" s="262"/>
      <c r="K53" s="263"/>
      <c r="L53" s="96" t="str">
        <f>IF($A53=0,"",IF($J53=Formeln!$A$27," ",IF($N$11=1,P53,Q53)))</f>
        <v/>
      </c>
      <c r="M53" s="97"/>
      <c r="O53" s="1"/>
      <c r="P53" s="191"/>
      <c r="Q53" s="191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v>545106</v>
      </c>
      <c r="E54" s="261" t="str">
        <f>VLOOKUP("Einfassung Vario, 600-1.020 mm, stucco",Sprachindex!A:Z,Info!$O$6,FALSE)</f>
        <v>Einfassung Vario, 600-1.020 mm, stucco</v>
      </c>
      <c r="F54" s="262"/>
      <c r="G54" s="262"/>
      <c r="H54" s="262"/>
      <c r="I54" s="262"/>
      <c r="J54" s="262"/>
      <c r="K54" s="263"/>
      <c r="L54" s="96" t="str">
        <f>IF($A54=0,"",IF($J54=Formeln!$A$27," ",IF($N$11=1,P54,Q54)))</f>
        <v/>
      </c>
      <c r="M54" s="97"/>
      <c r="O54" s="1"/>
      <c r="P54" s="191"/>
      <c r="Q54" s="191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IF(AND($N$9=1,$N$21=8),AM55,0)))))))))))))))))))))</f>
        <v>0</v>
      </c>
      <c r="E55" s="261" t="str">
        <f>VLOOKUP("Dachausstiegsluke, 600x600mm",Sprachindex!A:Z,Info!$O$6,FALSE)</f>
        <v>Dachausstiegsluke, 600x600mm</v>
      </c>
      <c r="F55" s="262"/>
      <c r="G55" s="262"/>
      <c r="H55" s="262"/>
      <c r="I55" s="262"/>
      <c r="J55" s="262"/>
      <c r="K55" s="263"/>
      <c r="L55" s="96" t="str">
        <f t="shared" si="2"/>
        <v/>
      </c>
      <c r="M55" s="97"/>
      <c r="O55" s="1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>
        <v>110020</v>
      </c>
      <c r="U55" s="46">
        <v>110021</v>
      </c>
      <c r="V55" s="46">
        <v>110022</v>
      </c>
      <c r="W55" s="46">
        <v>110023</v>
      </c>
      <c r="X55" s="46">
        <v>110024</v>
      </c>
      <c r="Y55" s="46">
        <v>110025</v>
      </c>
      <c r="Z55" s="46">
        <v>110026</v>
      </c>
      <c r="AA55" s="46">
        <v>110027</v>
      </c>
      <c r="AB55" s="46">
        <v>110028</v>
      </c>
      <c r="AC55" s="46"/>
      <c r="AD55" s="46">
        <v>110030</v>
      </c>
      <c r="AE55" s="46">
        <v>110031</v>
      </c>
      <c r="AF55" s="46">
        <v>110032</v>
      </c>
      <c r="AG55" s="46">
        <v>110033</v>
      </c>
      <c r="AH55" s="46">
        <v>110034</v>
      </c>
      <c r="AI55" s="46">
        <v>110035</v>
      </c>
      <c r="AJ55" s="46">
        <v>110036</v>
      </c>
      <c r="AK55" s="46">
        <v>110037</v>
      </c>
      <c r="AL55" s="46">
        <v>110038</v>
      </c>
      <c r="AM55" s="46">
        <v>110039</v>
      </c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f>IF(J56=Formeln!$A$28,AN56,IF(J56=Formeln!$A$29,BI56,IF(J56=Formeln!$A$30,CD56,IF(J56=Formeln!$A$31,CY56,IF(J56=Formeln!$A$32,DT56,IF(J56=Formeln!$A$33,EO56,IF(J56=Formeln!$A$34,FJ56,IF(J56=Formeln!$A$35,GE56,IF(J56=Formeln!$A$36,GZ56,IF(J56=Formeln!$A$37,HU56,IF(J56=Formeln!$A$38,IP56,IF(J56=Formeln!$A$39,JK56,IF(J56=Formeln!$A$40,KF56,IF(J56=Formeln!$A$41,LA56,IF(J56=Formeln!$A$42,LV56,IF(J56=Formeln!$A$43,MQ56,IF(J56=Formeln!$A$44,NL56,IF(J56=Formeln!$A$45,OG56,IF(J56=Formeln!$A$46,PB56,IF(J56=Formeln!$A$47,PW56,IF(J56=Formeln!$A$48,QR56,0)))))))))))))))))))))</f>
        <v>0</v>
      </c>
      <c r="E56" s="250" t="str">
        <f>VLOOKUP("VELUX Einfassung",Sprachindex!A:Z,Info!$O$6,FALSE)</f>
        <v>VELUX Einfassung</v>
      </c>
      <c r="F56" s="251"/>
      <c r="G56" s="251"/>
      <c r="H56" s="251"/>
      <c r="I56" s="101" t="str">
        <f>VLOOKUP("Maße:",Sprachindex!A:Z,Info!$O$6,FALSE)</f>
        <v>Maße:</v>
      </c>
      <c r="J56" s="252"/>
      <c r="K56" s="253"/>
      <c r="L56" s="96" t="str">
        <f>IF($A56=0,"",IF($J56=Formeln!$A$27," ",IF($N$11=1,P56,Q56)))</f>
        <v/>
      </c>
      <c r="M56" s="97"/>
      <c r="O56" s="1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/>
      <c r="U56" s="50"/>
      <c r="V56" s="50"/>
      <c r="W56" s="50"/>
      <c r="X56" s="50"/>
      <c r="Y56" s="50"/>
      <c r="Z56" s="50"/>
      <c r="AA56" s="50"/>
      <c r="AB56" s="50"/>
      <c r="AD56" s="50">
        <v>111100</v>
      </c>
      <c r="AE56" s="50">
        <v>111101</v>
      </c>
      <c r="AF56" s="50">
        <v>111102</v>
      </c>
      <c r="AG56" s="50">
        <v>111103</v>
      </c>
      <c r="AH56" s="50">
        <v>111104</v>
      </c>
      <c r="AI56" s="50">
        <v>111105</v>
      </c>
      <c r="AJ56" s="50">
        <v>111106</v>
      </c>
      <c r="AK56" s="50">
        <v>111107</v>
      </c>
      <c r="AL56" s="50">
        <v>111108</v>
      </c>
      <c r="AM56" s="229">
        <v>111109</v>
      </c>
      <c r="AN56" s="52">
        <f>IF(AND($N$9=2,$N$21=1),T56,IF(AND($N$9=2,$N$21=4),U56,IF(AND($N$9=2,$N$21=5),V56,IF(AND($N$9=2,$N$21=11),W56,IF(AND($N$9=2,$N$21=7),X56,IF(AND($N$9=2,$N$21=3),Y56,IF(AND($N$9=2,$N$21=6),Z56,IF(AND($N$9=2,$N$21=9),AA56,IF(AND($N$9=2,$N$21=2),AB56,IF(AND($N$9=2,$N$21=8),AC56,IF(AND($N$9=1,$N$21=1),AD56,IF(AND($N$9=1,$N$21=1),AD56,IF(AND($N$9=1,$N$21=4),AE56,IF(AND($N$9=1,$N$21=5),AF56,IF(AND($N$9=1,$N$21=11),AG56,IF(AND($N$9=1,$N$21=7),AH56,IF(AND($N$9=1,$N$21=3),AI56,IF(AND($N$9=1,$N$21=6),AJ56,IF(AND($N$9=1,$N$21=9),AK56,IF(AND($N$9=1,$N$21=2),AL56,IF(AND($N$9=1,$N$21=8),AM56,0)))))))))))))))))))))</f>
        <v>0</v>
      </c>
      <c r="AO56" s="51"/>
      <c r="AP56" s="50"/>
      <c r="AQ56" s="50"/>
      <c r="AR56" s="50"/>
      <c r="AS56" s="50"/>
      <c r="AT56" s="50"/>
      <c r="AU56" s="50"/>
      <c r="AV56" s="50"/>
      <c r="AW56" s="50"/>
      <c r="AY56" s="50">
        <v>111100</v>
      </c>
      <c r="AZ56" s="50">
        <v>111101</v>
      </c>
      <c r="BA56" s="50">
        <v>111102</v>
      </c>
      <c r="BB56" s="50">
        <v>111103</v>
      </c>
      <c r="BC56" s="50">
        <v>111104</v>
      </c>
      <c r="BD56" s="50">
        <v>111105</v>
      </c>
      <c r="BE56" s="50">
        <v>111106</v>
      </c>
      <c r="BF56" s="50">
        <v>111107</v>
      </c>
      <c r="BG56" s="50">
        <v>111108</v>
      </c>
      <c r="BH56" s="229">
        <v>111109</v>
      </c>
      <c r="BI56" s="52">
        <f>IF(AND($N$9=2,$N$21=1),AO56,IF(AND($N$9=2,$N$21=4),AP56,IF(AND($N$9=2,$N$21=5),AQ56,IF(AND($N$9=2,$N$21=11),AR56,IF(AND($N$9=2,$N$21=7),AS56,IF(AND($N$9=2,$N$21=3),AT56,IF(AND($N$9=2,$N$21=6),AU56,IF(AND($N$9=2,$N$21=9),AV56,IF(AND($N$9=2,$N$21=2),AW56,IF(AND($N$9=2,$N$21=8),AX56,IF(AND($N$9=1,$N$21=1),AY56,IF(AND($N$9=1,$N$21=1),AY56,IF(AND($N$9=1,$N$21=4),AZ56,IF(AND($N$9=1,$N$21=5),BA56,IF(AND($N$9=1,$N$21=11),BB56,IF(AND($N$9=1,$N$21=7),BC56,IF(AND($N$9=1,$N$21=3),BD56,IF(AND($N$9=1,$N$21=6),BE56,IF(AND($N$9=1,$N$21=9),BF56,IF(AND($N$9=1,$N$21=2),BG56,IF(AND($N$9=1,$N$21=8),BH56,0)))))))))))))))))))))</f>
        <v>0</v>
      </c>
      <c r="BJ56" s="51"/>
      <c r="BK56" s="50"/>
      <c r="BL56" s="50"/>
      <c r="BM56" s="50"/>
      <c r="BN56" s="50"/>
      <c r="BO56" s="50"/>
      <c r="BP56" s="50"/>
      <c r="BQ56" s="50"/>
      <c r="BR56" s="50"/>
      <c r="BT56" s="50">
        <v>111100</v>
      </c>
      <c r="BU56" s="50">
        <v>111101</v>
      </c>
      <c r="BV56" s="50">
        <v>111102</v>
      </c>
      <c r="BW56" s="50">
        <v>111103</v>
      </c>
      <c r="BX56" s="50">
        <v>111104</v>
      </c>
      <c r="BY56" s="50">
        <v>111105</v>
      </c>
      <c r="BZ56" s="50">
        <v>111106</v>
      </c>
      <c r="CA56" s="50">
        <v>111107</v>
      </c>
      <c r="CB56" s="50">
        <v>111108</v>
      </c>
      <c r="CC56" s="229">
        <v>111109</v>
      </c>
      <c r="CD56" s="52">
        <f>IF(AND($N$9=2,$N$21=1),BJ56,IF(AND($N$9=2,$N$21=4),BK56,IF(AND($N$9=2,$N$21=5),BL56,IF(AND($N$9=2,$N$21=11),BM56,IF(AND($N$9=2,$N$21=7),BN56,IF(AND($N$9=2,$N$21=3),BO56,IF(AND($N$9=2,$N$21=6),BP56,IF(AND($N$9=2,$N$21=9),BQ56,IF(AND($N$9=2,$N$21=2),BR56,IF(AND($N$9=2,$N$21=8),BS56,IF(AND($N$9=1,$N$21=1),BT56,IF(AND($N$9=1,$N$21=1),BT56,IF(AND($N$9=1,$N$21=4),BU56,IF(AND($N$9=1,$N$21=5),BV56,IF(AND($N$9=1,$N$21=11),BW56,IF(AND($N$9=1,$N$21=7),BX56,IF(AND($N$9=1,$N$21=3),BY56,IF(AND($N$9=1,$N$21=6),BZ56,IF(AND($N$9=1,$N$21=9),CA56,IF(AND($N$9=1,$N$21=2),CB56,IF(AND($N$9=1,$N$21=8),CC56,0)))))))))))))))))))))</f>
        <v>0</v>
      </c>
      <c r="CE56" s="51"/>
      <c r="CF56" s="46"/>
      <c r="CG56" s="46"/>
      <c r="CH56" s="46"/>
      <c r="CI56" s="46"/>
      <c r="CJ56" s="46"/>
      <c r="CK56" s="46"/>
      <c r="CL56" s="46"/>
      <c r="CM56" s="46"/>
      <c r="CO56" s="46">
        <v>111120</v>
      </c>
      <c r="CP56" s="46">
        <v>111121</v>
      </c>
      <c r="CQ56" s="46">
        <v>111122</v>
      </c>
      <c r="CR56" s="46">
        <v>111123</v>
      </c>
      <c r="CS56" s="46">
        <v>111124</v>
      </c>
      <c r="CT56" s="46">
        <v>111125</v>
      </c>
      <c r="CU56" s="46">
        <v>111126</v>
      </c>
      <c r="CV56" s="46">
        <v>111127</v>
      </c>
      <c r="CW56" s="46">
        <v>111128</v>
      </c>
      <c r="CX56" s="229">
        <v>111129</v>
      </c>
      <c r="CY56" s="52">
        <f>IF(AND($N$9=2,$N$21=1),CE56,IF(AND($N$9=2,$N$21=4),CF56,IF(AND($N$9=2,$N$21=5),CG56,IF(AND($N$9=2,$N$21=11),CH56,IF(AND($N$9=2,$N$21=7),CI56,IF(AND($N$9=2,$N$21=3),CJ56,IF(AND($N$9=2,$N$21=6),CK56,IF(AND($N$9=2,$N$21=9),CL56,IF(AND($N$9=2,$N$21=2),CM56,IF(AND($N$9=2,$N$21=8),CN56,IF(AND($N$9=1,$N$21=1),CO56,IF(AND($N$9=1,$N$21=1),CO56,IF(AND($N$9=1,$N$21=4),CP56,IF(AND($N$9=1,$N$21=5),CQ56,IF(AND($N$9=1,$N$21=11),CR56,IF(AND($N$9=1,$N$21=7),CS56,IF(AND($N$9=1,$N$21=3),CT56,IF(AND($N$9=1,$N$21=6),CU56,IF(AND($N$9=1,$N$21=9),CV56,IF(AND($N$9=1,$N$21=2),CW56,IF(AND($N$9=1,$N$21=8),CX56,0)))))))))))))))))))))</f>
        <v>0</v>
      </c>
      <c r="CZ56" s="51"/>
      <c r="DA56" s="46"/>
      <c r="DB56" s="46"/>
      <c r="DC56" s="46"/>
      <c r="DD56" s="46"/>
      <c r="DE56" s="46"/>
      <c r="DF56" s="46"/>
      <c r="DG56" s="46"/>
      <c r="DH56" s="46"/>
      <c r="DJ56" s="46">
        <v>111120</v>
      </c>
      <c r="DK56" s="46">
        <v>111121</v>
      </c>
      <c r="DL56" s="46">
        <v>111122</v>
      </c>
      <c r="DM56" s="46">
        <v>111123</v>
      </c>
      <c r="DN56" s="46">
        <v>111124</v>
      </c>
      <c r="DO56" s="46">
        <v>111125</v>
      </c>
      <c r="DP56" s="46">
        <v>111126</v>
      </c>
      <c r="DQ56" s="46">
        <v>111127</v>
      </c>
      <c r="DR56" s="46">
        <v>111128</v>
      </c>
      <c r="DS56" s="229">
        <v>111129</v>
      </c>
      <c r="DT56" s="52">
        <f>IF(AND($N$9=2,$N$21=1),CZ56,IF(AND($N$9=2,$N$21=4),DA56,IF(AND($N$9=2,$N$21=5),DB56,IF(AND($N$9=2,$N$21=11),DC56,IF(AND($N$9=2,$N$21=7),DD56,IF(AND($N$9=2,$N$21=3),DE56,IF(AND($N$9=2,$N$21=6),DF56,IF(AND($N$9=2,$N$21=9),DG56,IF(AND($N$9=2,$N$21=2),DH56,IF(AND($N$9=2,$N$21=8),DI56,IF(AND($N$9=1,$N$21=1),DJ56,IF(AND($N$9=1,$N$21=1),DJ56,IF(AND($N$9=1,$N$21=4),DK56,IF(AND($N$9=1,$N$21=5),DL56,IF(AND($N$9=1,$N$21=11),DM56,IF(AND($N$9=1,$N$21=7),DN56,IF(AND($N$9=1,$N$21=3),DO56,IF(AND($N$9=1,$N$21=6),DP56,IF(AND($N$9=1,$N$21=9),DQ56,IF(AND($N$9=1,$N$21=2),DR56,IF(AND($N$9=1,$N$21=8),DS56,0)))))))))))))))))))))</f>
        <v>0</v>
      </c>
      <c r="DU56" s="51"/>
      <c r="DV56" s="46"/>
      <c r="DW56" s="46"/>
      <c r="DX56" s="46"/>
      <c r="DY56" s="46"/>
      <c r="DZ56" s="46"/>
      <c r="EA56" s="46"/>
      <c r="EB56" s="46"/>
      <c r="EC56" s="46"/>
      <c r="EE56" s="46">
        <v>111120</v>
      </c>
      <c r="EF56" s="46">
        <v>111121</v>
      </c>
      <c r="EG56" s="46">
        <v>111122</v>
      </c>
      <c r="EH56" s="46">
        <v>111123</v>
      </c>
      <c r="EI56" s="46">
        <v>111124</v>
      </c>
      <c r="EJ56" s="46">
        <v>111125</v>
      </c>
      <c r="EK56" s="46">
        <v>111126</v>
      </c>
      <c r="EL56" s="46">
        <v>111127</v>
      </c>
      <c r="EM56" s="46">
        <v>111128</v>
      </c>
      <c r="EN56" s="229">
        <v>111129</v>
      </c>
      <c r="EO56" s="52">
        <f>IF(AND($N$9=2,$N$21=1),DU56,IF(AND($N$9=2,$N$21=4),DV56,IF(AND($N$9=2,$N$21=5),DW56,IF(AND($N$9=2,$N$21=11),DX56,IF(AND($N$9=2,$N$21=7),DY56,IF(AND($N$9=2,$N$21=3),DZ56,IF(AND($N$9=2,$N$21=6),EA56,IF(AND($N$9=2,$N$21=9),EB56,IF(AND($N$9=2,$N$21=2),EC56,IF(AND($N$9=2,$N$21=8),ED56,IF(AND($N$9=1,$N$21=1),EE56,IF(AND($N$9=1,$N$21=1),EE56,IF(AND($N$9=1,$N$21=4),EF56,IF(AND($N$9=1,$N$21=5),EG56,IF(AND($N$9=1,$N$21=11),EH56,IF(AND($N$9=1,$N$21=7),EI56,IF(AND($N$9=1,$N$21=3),EJ56,IF(AND($N$9=1,$N$21=6),EK56,IF(AND($N$9=1,$N$21=9),EL56,IF(AND($N$9=1,$N$21=2),EM56,IF(AND($N$9=1,$N$21=8),EN56,0)))))))))))))))))))))</f>
        <v>0</v>
      </c>
      <c r="EP56" s="51">
        <v>111170</v>
      </c>
      <c r="EQ56" s="46"/>
      <c r="ER56" s="46"/>
      <c r="ES56" s="46"/>
      <c r="ET56" s="46"/>
      <c r="EU56" s="46"/>
      <c r="EV56" s="46"/>
      <c r="EW56" s="46"/>
      <c r="EX56" s="46"/>
      <c r="EZ56" s="46">
        <v>111160</v>
      </c>
      <c r="FA56" s="46">
        <v>111161</v>
      </c>
      <c r="FB56" s="46">
        <v>111162</v>
      </c>
      <c r="FC56" s="46">
        <v>111163</v>
      </c>
      <c r="FD56" s="46">
        <v>111164</v>
      </c>
      <c r="FE56" s="46">
        <v>111165</v>
      </c>
      <c r="FF56" s="46">
        <v>111166</v>
      </c>
      <c r="FG56" s="46">
        <v>111167</v>
      </c>
      <c r="FH56" s="46">
        <v>111168</v>
      </c>
      <c r="FI56" s="229">
        <v>111169</v>
      </c>
      <c r="FJ56" s="52">
        <f>IF(AND($N$9=2,$N$21=1),EP56,IF(AND($N$9=2,$N$21=4),EQ56,IF(AND($N$9=2,$N$21=5),ER56,IF(AND($N$9=2,$N$21=11),ES56,IF(AND($N$9=2,$N$21=7),ET56,IF(AND($N$9=2,$N$21=3),EU56,IF(AND($N$9=2,$N$21=6),EV56,IF(AND($N$9=2,$N$21=9),EW56,IF(AND($N$9=2,$N$21=2),EX56,IF(AND($N$9=2,$N$21=8),EY56,IF(AND($N$9=1,$N$21=1),EZ56,IF(AND($N$9=1,$N$21=1),EZ56,IF(AND($N$9=1,$N$21=4),FA56,IF(AND($N$9=1,$N$21=5),FB56,IF(AND($N$9=1,$N$21=11),FC56,IF(AND($N$9=1,$N$21=7),FD56,IF(AND($N$9=1,$N$21=3),FE56,IF(AND($N$9=1,$N$21=6),FF56,IF(AND($N$9=1,$N$21=9),FG56,IF(AND($N$9=1,$N$21=2),FH56,IF(AND($N$9=1,$N$21=8),FI56,0)))))))))))))))))))))</f>
        <v>0</v>
      </c>
      <c r="FK56" s="51"/>
      <c r="FL56" s="46"/>
      <c r="FM56" s="46"/>
      <c r="FN56" s="46"/>
      <c r="FO56" s="46"/>
      <c r="FP56" s="46"/>
      <c r="FQ56" s="46"/>
      <c r="FR56" s="46"/>
      <c r="FS56" s="46"/>
      <c r="FU56" s="46">
        <v>111160</v>
      </c>
      <c r="FV56" s="46">
        <v>111161</v>
      </c>
      <c r="FW56" s="46">
        <v>111162</v>
      </c>
      <c r="FX56" s="46">
        <v>111163</v>
      </c>
      <c r="FY56" s="46">
        <v>111164</v>
      </c>
      <c r="FZ56" s="46">
        <v>111165</v>
      </c>
      <c r="GA56" s="46">
        <v>111166</v>
      </c>
      <c r="GB56" s="46">
        <v>111167</v>
      </c>
      <c r="GC56" s="46">
        <v>111168</v>
      </c>
      <c r="GD56" s="229">
        <v>111169</v>
      </c>
      <c r="GE56" s="52">
        <f>IF(AND($N$9=2,$N$21=1),FK56,IF(AND($N$9=2,$N$21=4),FL56,IF(AND($N$9=2,$N$21=5),FM56,IF(AND($N$9=2,$N$21=11),FN56,IF(AND($N$9=2,$N$21=7),FO56,IF(AND($N$9=2,$N$21=3),FP56,IF(AND($N$9=2,$N$21=6),FQ56,IF(AND($N$9=2,$N$21=9),FR56,IF(AND($N$9=2,$N$21=2),FS56,IF(AND($N$9=2,$N$21=8),FT56,IF(AND($N$9=1,$N$21=1),FU56,IF(AND($N$9=1,$N$21=1),FU56,IF(AND($N$9=1,$N$21=4),FV56,IF(AND($N$9=1,$N$21=5),FW56,IF(AND($N$9=1,$N$21=11),FX56,IF(AND($N$9=1,$N$21=7),FY56,IF(AND($N$9=1,$N$21=3),FZ56,IF(AND($N$9=1,$N$21=6),GA56,IF(AND($N$9=1,$N$21=9),GB56,IF(AND($N$9=1,$N$21=2),GC56,IF(AND($N$9=1,$N$21=8),GD56,0)))))))))))))))))))))</f>
        <v>0</v>
      </c>
      <c r="GF56" s="51"/>
      <c r="GG56" s="46"/>
      <c r="GH56" s="46"/>
      <c r="GI56" s="46"/>
      <c r="GJ56" s="46"/>
      <c r="GK56" s="46"/>
      <c r="GL56" s="46"/>
      <c r="GM56" s="46"/>
      <c r="GN56" s="46"/>
      <c r="GP56" s="46">
        <v>111160</v>
      </c>
      <c r="GQ56" s="46">
        <v>111161</v>
      </c>
      <c r="GR56" s="46">
        <v>111162</v>
      </c>
      <c r="GS56" s="46">
        <v>111163</v>
      </c>
      <c r="GT56" s="46">
        <v>111164</v>
      </c>
      <c r="GU56" s="46">
        <v>111165</v>
      </c>
      <c r="GV56" s="46">
        <v>111166</v>
      </c>
      <c r="GW56" s="46">
        <v>111167</v>
      </c>
      <c r="GX56" s="46">
        <v>111168</v>
      </c>
      <c r="GY56" s="230">
        <v>111169</v>
      </c>
      <c r="GZ56" s="52">
        <f>IF(AND($N$9=2,$N$21=1),GF56,IF(AND($N$9=2,$N$21=4),GG56,IF(AND($N$9=2,$N$21=5),GH56,IF(AND($N$9=2,$N$21=11),GI56,IF(AND($N$9=2,$N$21=7),GJ56,IF(AND($N$9=2,$N$21=3),GK56,IF(AND($N$9=2,$N$21=6),GL56,IF(AND($N$9=2,$N$21=9),GM56,IF(AND($N$9=2,$N$21=2),GN56,IF(AND($N$9=2,$N$21=8),GO56,IF(AND($N$9=1,$N$21=1),GP56,IF(AND($N$9=1,$N$21=1),GP56,IF(AND($N$9=1,$N$21=4),GQ56,IF(AND($N$9=1,$N$21=5),GR56,IF(AND($N$9=1,$N$21=11),GS56,IF(AND($N$9=1,$N$21=7),GT56,IF(AND($N$9=1,$N$21=3),GU56,IF(AND($N$9=1,$N$21=6),GV56,IF(AND($N$9=1,$N$21=9),GW56,IF(AND($N$9=1,$N$21=2),GX56,IF(AND($N$9=1,$N$21=8),GY56,0)))))))))))))))))))))</f>
        <v>0</v>
      </c>
      <c r="HA56" s="51"/>
      <c r="HB56" s="46"/>
      <c r="HC56" s="46"/>
      <c r="HD56" s="46"/>
      <c r="HE56" s="46"/>
      <c r="HF56" s="46"/>
      <c r="HG56" s="46"/>
      <c r="HH56" s="46"/>
      <c r="HI56" s="46"/>
      <c r="HK56" s="46">
        <v>111280</v>
      </c>
      <c r="HL56" s="46">
        <v>111281</v>
      </c>
      <c r="HM56" s="46">
        <v>111282</v>
      </c>
      <c r="HN56" s="46">
        <v>111283</v>
      </c>
      <c r="HO56" s="46">
        <v>111284</v>
      </c>
      <c r="HP56" s="46">
        <v>111285</v>
      </c>
      <c r="HQ56" s="46">
        <v>111286</v>
      </c>
      <c r="HR56" s="46">
        <v>111287</v>
      </c>
      <c r="HS56" s="46">
        <v>111288</v>
      </c>
      <c r="HT56" s="230">
        <v>111289</v>
      </c>
      <c r="HU56" s="52">
        <f>IF(AND($N$9=2,$N$21=1),HA56,IF(AND($N$9=2,$N$21=4),HB56,IF(AND($N$9=2,$N$21=5),HC56,IF(AND($N$9=2,$N$21=11),HD56,IF(AND($N$9=2,$N$21=7),HE56,IF(AND($N$9=2,$N$21=3),HF56,IF(AND($N$9=2,$N$21=6),HG56,IF(AND($N$9=2,$N$21=9),HH56,IF(AND($N$9=2,$N$21=2),HI56,IF(AND($N$9=2,$N$21=8),HJ56,IF(AND($N$9=1,$N$21=1),HK56,IF(AND($N$9=1,$N$21=1),HK56,IF(AND($N$9=1,$N$21=4),HL56,IF(AND($N$9=1,$N$21=5),HM56,IF(AND($N$9=1,$N$21=11),HN56,IF(AND($N$9=1,$N$21=7),HO56,IF(AND($N$9=1,$N$21=3),HP56,IF(AND($N$9=1,$N$21=6),HQ56,IF(AND($N$9=1,$N$21=9),HR56,IF(AND($N$9=1,$N$21=2),HS56,IF(AND($N$9=1,$N$21=8),HT56,0)))))))))))))))))))))</f>
        <v>0</v>
      </c>
      <c r="HV56" s="51"/>
      <c r="HW56" s="46"/>
      <c r="HX56" s="46"/>
      <c r="HY56" s="46"/>
      <c r="HZ56" s="46"/>
      <c r="IA56" s="46"/>
      <c r="IB56" s="46"/>
      <c r="IC56" s="46"/>
      <c r="ID56" s="46"/>
      <c r="IF56" s="46">
        <v>111280</v>
      </c>
      <c r="IG56" s="46">
        <v>111281</v>
      </c>
      <c r="IH56" s="46">
        <v>111282</v>
      </c>
      <c r="II56" s="46">
        <v>111283</v>
      </c>
      <c r="IJ56" s="46">
        <v>111284</v>
      </c>
      <c r="IK56" s="46">
        <v>111285</v>
      </c>
      <c r="IL56" s="46">
        <v>111286</v>
      </c>
      <c r="IM56" s="46">
        <v>111287</v>
      </c>
      <c r="IN56" s="46">
        <v>111288</v>
      </c>
      <c r="IO56" s="230">
        <v>111289</v>
      </c>
      <c r="IP56" s="52">
        <f>IF(AND($N$9=2,$N$21=1),HV56,IF(AND($N$9=2,$N$21=4),HW56,IF(AND($N$9=2,$N$21=5),HX56,IF(AND($N$9=2,$N$21=11),HY56,IF(AND($N$9=2,$N$21=7),HZ56,IF(AND($N$9=2,$N$21=3),IA56,IF(AND($N$9=2,$N$21=6),IB56,IF(AND($N$9=2,$N$21=9),IC56,IF(AND($N$9=2,$N$21=2),ID56,IF(AND($N$9=2,$N$21=8),IE56,IF(AND($N$9=1,$N$21=1),IF56,IF(AND($N$9=1,$N$21=1),IF56,IF(AND($N$9=1,$N$21=4),IG56,IF(AND($N$9=1,$N$21=5),IH56,IF(AND($N$9=1,$N$21=11),II56,IF(AND($N$9=1,$N$21=7),IJ56,IF(AND($N$9=1,$N$21=3),IK56,IF(AND($N$9=1,$N$21=6),IL56,IF(AND($N$9=1,$N$21=9),IM56,IF(AND($N$9=1,$N$21=2),IN56,IF(AND($N$9=1,$N$21=8),IO56,0)))))))))))))))))))))</f>
        <v>0</v>
      </c>
      <c r="IQ56" s="51"/>
      <c r="IR56" s="46"/>
      <c r="IS56" s="46"/>
      <c r="IT56" s="46"/>
      <c r="IU56" s="46"/>
      <c r="IV56" s="46"/>
      <c r="IW56" s="46"/>
      <c r="IX56" s="46"/>
      <c r="IY56" s="46"/>
      <c r="JA56" s="46">
        <v>111180</v>
      </c>
      <c r="JB56" s="46">
        <v>111181</v>
      </c>
      <c r="JC56" s="46">
        <v>111182</v>
      </c>
      <c r="JD56" s="46">
        <v>111183</v>
      </c>
      <c r="JE56" s="46">
        <v>111184</v>
      </c>
      <c r="JF56" s="46">
        <v>111185</v>
      </c>
      <c r="JG56" s="46">
        <v>111186</v>
      </c>
      <c r="JH56" s="46">
        <v>111187</v>
      </c>
      <c r="JI56" s="46">
        <v>111188</v>
      </c>
      <c r="JJ56" s="230">
        <v>111189</v>
      </c>
      <c r="JK56" s="52">
        <f>IF(AND($N$9=2,$N$21=1),IQ56,IF(AND($N$9=2,$N$21=4),IR56,IF(AND($N$9=2,$N$21=5),IS56,IF(AND($N$9=2,$N$21=11),IT56,IF(AND($N$9=2,$N$21=7),IU56,IF(AND($N$9=2,$N$21=3),IV56,IF(AND($N$9=2,$N$21=6),IW56,IF(AND($N$9=2,$N$21=9),IX56,IF(AND($N$9=2,$N$21=2),IY56,IF(AND($N$9=2,$N$21=8),IZ56,IF(AND($N$9=1,$N$21=1),JA56,IF(AND($N$9=1,$N$21=1),JA56,IF(AND($N$9=1,$N$21=4),JB56,IF(AND($N$9=1,$N$21=5),JC56,IF(AND($N$9=1,$N$21=11),JD56,IF(AND($N$9=1,$N$21=7),JE56,IF(AND($N$9=1,$N$21=3),JF56,IF(AND($N$9=1,$N$21=6),JG56,IF(AND($N$9=1,$N$21=9),JH56,IF(AND($N$9=1,$N$21=2),JI56,IF(AND($N$9=1,$N$21=8),JJ56,0)))))))))))))))))))))</f>
        <v>0</v>
      </c>
      <c r="JL56" s="51"/>
      <c r="JM56" s="46"/>
      <c r="JN56" s="46"/>
      <c r="JO56" s="46"/>
      <c r="JP56" s="46"/>
      <c r="JQ56" s="46"/>
      <c r="JR56" s="46"/>
      <c r="JS56" s="46"/>
      <c r="JT56" s="46"/>
      <c r="JV56" s="46">
        <v>111180</v>
      </c>
      <c r="JW56" s="46">
        <v>111181</v>
      </c>
      <c r="JX56" s="46">
        <v>111182</v>
      </c>
      <c r="JY56" s="46">
        <v>111183</v>
      </c>
      <c r="JZ56" s="46">
        <v>111184</v>
      </c>
      <c r="KA56" s="46">
        <v>111185</v>
      </c>
      <c r="KB56" s="46">
        <v>111186</v>
      </c>
      <c r="KC56" s="46">
        <v>111187</v>
      </c>
      <c r="KD56" s="46">
        <v>111188</v>
      </c>
      <c r="KE56" s="230">
        <v>111189</v>
      </c>
      <c r="KF56" s="52">
        <f>IF(AND($N$9=2,$N$21=1),JL56,IF(AND($N$9=2,$N$21=4),JM56,IF(AND($N$9=2,$N$21=5),JN56,IF(AND($N$9=2,$N$21=11),JO56,IF(AND($N$9=2,$N$21=7),JP56,IF(AND($N$9=2,$N$21=3),JQ56,IF(AND($N$9=2,$N$21=6),JR56,IF(AND($N$9=2,$N$21=9),JS56,IF(AND($N$9=2,$N$21=2),JT56,IF(AND($N$9=2,$N$21=8),JU56,IF(AND($N$9=1,$N$21=1),JV56,IF(AND($N$9=1,$N$21=1),JV56,IF(AND($N$9=1,$N$21=4),JW56,IF(AND($N$9=1,$N$21=5),JX56,IF(AND($N$9=1,$N$21=11),JY56,IF(AND($N$9=1,$N$21=7),JZ56,IF(AND($N$9=1,$N$21=3),KA56,IF(AND($N$9=1,$N$21=6),KB56,IF(AND($N$9=1,$N$21=9),KC56,IF(AND($N$9=1,$N$21=2),KD56,IF(AND($N$9=1,$N$21=8),KE56,0)))))))))))))))))))))</f>
        <v>0</v>
      </c>
      <c r="KG56" s="51"/>
      <c r="KH56" s="46"/>
      <c r="KI56" s="46"/>
      <c r="KJ56" s="46"/>
      <c r="KK56" s="46"/>
      <c r="KL56" s="46"/>
      <c r="KM56" s="46"/>
      <c r="KN56" s="46"/>
      <c r="KO56" s="46"/>
      <c r="KQ56" s="46">
        <v>111180</v>
      </c>
      <c r="KR56" s="46">
        <v>111181</v>
      </c>
      <c r="KS56" s="46">
        <v>111182</v>
      </c>
      <c r="KT56" s="46">
        <v>111183</v>
      </c>
      <c r="KU56" s="46">
        <v>111184</v>
      </c>
      <c r="KV56" s="46">
        <v>111185</v>
      </c>
      <c r="KW56" s="46">
        <v>111186</v>
      </c>
      <c r="KX56" s="46">
        <v>111187</v>
      </c>
      <c r="KY56" s="46">
        <v>111188</v>
      </c>
      <c r="KZ56" s="230">
        <v>111189</v>
      </c>
      <c r="LA56" s="52">
        <f>IF(AND($N$9=2,$N$21=1),KG56,IF(AND($N$9=2,$N$21=4),KH56,IF(AND($N$9=2,$N$21=5),KI56,IF(AND($N$9=2,$N$21=11),KJ56,IF(AND($N$9=2,$N$21=7),KK56,IF(AND($N$9=2,$N$21=3),KL56,IF(AND($N$9=2,$N$21=6),KM56,IF(AND($N$9=2,$N$21=9),KN56,IF(AND($N$9=2,$N$21=2),KO56,IF(AND($N$9=2,$N$21=8),KP56,IF(AND($N$9=1,$N$21=1),KQ56,IF(AND($N$9=1,$N$21=1),KQ56,IF(AND($N$9=1,$N$21=4),KR56,IF(AND($N$9=1,$N$21=5),KS56,IF(AND($N$9=1,$N$21=11),KT56,IF(AND($N$9=1,$N$21=7),KU56,IF(AND($N$9=1,$N$21=3),KV56,IF(AND($N$9=1,$N$21=6),KW56,IF(AND($N$9=1,$N$21=9),KX56,IF(AND($N$9=1,$N$21=2),KY56,IF(AND($N$9=1,$N$21=8),KZ56,0)))))))))))))))))))))</f>
        <v>0</v>
      </c>
      <c r="LB56" s="51"/>
      <c r="LC56" s="46"/>
      <c r="LD56" s="46"/>
      <c r="LE56" s="46"/>
      <c r="LF56" s="46"/>
      <c r="LG56" s="46"/>
      <c r="LH56" s="46"/>
      <c r="LI56" s="46"/>
      <c r="LJ56" s="46"/>
      <c r="LL56" s="46">
        <v>111200</v>
      </c>
      <c r="LM56" s="46">
        <v>111201</v>
      </c>
      <c r="LN56" s="46">
        <v>111202</v>
      </c>
      <c r="LO56" s="46">
        <v>111203</v>
      </c>
      <c r="LP56" s="46">
        <v>111204</v>
      </c>
      <c r="LQ56" s="46">
        <v>111205</v>
      </c>
      <c r="LR56" s="46">
        <v>111206</v>
      </c>
      <c r="LS56" s="46">
        <v>111207</v>
      </c>
      <c r="LT56" s="46">
        <v>111208</v>
      </c>
      <c r="LU56" s="230">
        <v>111209</v>
      </c>
      <c r="LV56" s="52">
        <f>IF(AND($N$9=2,$N$21=1),LB56,IF(AND($N$9=2,$N$21=4),LC56,IF(AND($N$9=2,$N$21=5),LD56,IF(AND($N$9=2,$N$21=11),LE56,IF(AND($N$9=2,$N$21=7),LF56,IF(AND($N$9=2,$N$21=3),LG56,IF(AND($N$9=2,$N$21=6),LH56,IF(AND($N$9=2,$N$21=9),LI56,IF(AND($N$9=2,$N$21=2),LJ56,IF(AND($N$9=2,$N$21=8),LK56,IF(AND($N$9=1,$N$21=1),LL56,IF(AND($N$9=1,$N$21=1),LL56,IF(AND($N$9=1,$N$21=4),LM56,IF(AND($N$9=1,$N$21=5),LN56,IF(AND($N$9=1,$N$21=11),LO56,IF(AND($N$9=1,$N$21=7),LP56,IF(AND($N$9=1,$N$21=3),LQ56,IF(AND($N$9=1,$N$21=6),LR56,IF(AND($N$9=1,$N$21=9),LS56,IF(AND($N$9=1,$N$21=2),LT56,IF(AND($N$9=1,$N$21=8),LU56,0)))))))))))))))))))))</f>
        <v>0</v>
      </c>
      <c r="LW56" s="51"/>
      <c r="LX56" s="46"/>
      <c r="LY56" s="46"/>
      <c r="LZ56" s="46"/>
      <c r="MA56" s="46"/>
      <c r="MB56" s="46"/>
      <c r="MC56" s="46"/>
      <c r="MD56" s="46"/>
      <c r="ME56" s="46"/>
      <c r="MG56" s="46">
        <v>111220</v>
      </c>
      <c r="MH56" s="46">
        <v>111221</v>
      </c>
      <c r="MI56" s="46">
        <v>111222</v>
      </c>
      <c r="MJ56" s="46">
        <v>111223</v>
      </c>
      <c r="MK56" s="46">
        <v>111224</v>
      </c>
      <c r="ML56" s="46">
        <v>111225</v>
      </c>
      <c r="MM56" s="46">
        <v>111226</v>
      </c>
      <c r="MN56" s="46">
        <v>111227</v>
      </c>
      <c r="MO56" s="46">
        <v>111228</v>
      </c>
      <c r="MP56" s="230">
        <v>111229</v>
      </c>
      <c r="MQ56" s="52">
        <f>IF(AND($N$9=2,$N$21=1),LW56,IF(AND($N$9=2,$N$21=4),LX56,IF(AND($N$9=2,$N$21=5),LY56,IF(AND($N$9=2,$N$21=11),LZ56,IF(AND($N$9=2,$N$21=7),MA56,IF(AND($N$9=2,$N$21=3),MB56,IF(AND($N$9=2,$N$21=6),MC56,IF(AND($N$9=2,$N$21=9),MD56,IF(AND($N$9=2,$N$21=2),ME56,IF(AND($N$9=2,$N$21=8),MF56,IF(AND($N$9=1,$N$21=1),MG56,IF(AND($N$9=1,$N$21=1),MG56,IF(AND($N$9=1,$N$21=4),MH56,IF(AND($N$9=1,$N$21=5),MI56,IF(AND($N$9=1,$N$21=11),MJ56,IF(AND($N$9=1,$N$21=7),MK56,IF(AND($N$9=1,$N$21=3),ML56,IF(AND($N$9=1,$N$21=6),MM56,IF(AND($N$9=1,$N$21=9),MN56,IF(AND($N$9=1,$N$21=2),MO56,IF(AND($N$9=1,$N$21=8),MP56,0)))))))))))))))))))))</f>
        <v>0</v>
      </c>
      <c r="MR56" s="51"/>
      <c r="MS56" s="46"/>
      <c r="MT56" s="46"/>
      <c r="MU56" s="46"/>
      <c r="MV56" s="46"/>
      <c r="MW56" s="46"/>
      <c r="MX56" s="46"/>
      <c r="MY56" s="46"/>
      <c r="MZ56" s="46"/>
      <c r="NB56" s="46">
        <v>111220</v>
      </c>
      <c r="NC56" s="46">
        <v>111221</v>
      </c>
      <c r="ND56" s="46">
        <v>111222</v>
      </c>
      <c r="NE56" s="46">
        <v>111223</v>
      </c>
      <c r="NF56" s="46">
        <v>111224</v>
      </c>
      <c r="NG56" s="46">
        <v>111225</v>
      </c>
      <c r="NH56" s="46">
        <v>111226</v>
      </c>
      <c r="NI56" s="46">
        <v>111227</v>
      </c>
      <c r="NJ56" s="46">
        <v>111228</v>
      </c>
      <c r="NK56" s="230">
        <v>111229</v>
      </c>
      <c r="NL56" s="52">
        <f>IF(AND($N$9=2,$N$21=1),MR56,IF(AND($N$9=2,$N$21=4),MS56,IF(AND($N$9=2,$N$21=5),MT56,IF(AND($N$9=2,$N$21=11),MU56,IF(AND($N$9=2,$N$21=7),MV56,IF(AND($N$9=2,$N$21=3),MW56,IF(AND($N$9=2,$N$21=6),MX56,IF(AND($N$9=2,$N$21=9),MY56,IF(AND($N$9=2,$N$21=2),MZ56,IF(AND($N$9=2,$N$21=8),NA56,IF(AND($N$9=1,$N$21=1),NB56,IF(AND($N$9=1,$N$21=1),NB56,IF(AND($N$9=1,$N$21=4),NC56,IF(AND($N$9=1,$N$21=5),ND56,IF(AND($N$9=1,$N$21=11),NE56,IF(AND($N$9=1,$N$21=7),NF56,IF(AND($N$9=1,$N$21=3),NG56,IF(AND($N$9=1,$N$21=6),NH56,IF(AND($N$9=1,$N$21=9),NI56,IF(AND($N$9=1,$N$21=2),NJ56,IF(AND($N$9=1,$N$21=8),NK56,0)))))))))))))))))))))</f>
        <v>0</v>
      </c>
      <c r="NM56" s="51"/>
      <c r="NN56" s="46"/>
      <c r="NO56" s="46"/>
      <c r="NP56" s="46"/>
      <c r="NQ56" s="46"/>
      <c r="NR56" s="46"/>
      <c r="NS56" s="46"/>
      <c r="NT56" s="46"/>
      <c r="NU56" s="46"/>
      <c r="NW56" s="46">
        <v>111600</v>
      </c>
      <c r="NX56" s="46">
        <v>111601</v>
      </c>
      <c r="NY56" s="46">
        <v>111602</v>
      </c>
      <c r="NZ56" s="46">
        <v>111603</v>
      </c>
      <c r="OA56" s="46">
        <v>111604</v>
      </c>
      <c r="OB56" s="46">
        <v>111605</v>
      </c>
      <c r="OC56" s="46">
        <v>111606</v>
      </c>
      <c r="OD56" s="46">
        <v>111607</v>
      </c>
      <c r="OE56" s="46">
        <v>111608</v>
      </c>
      <c r="OF56" s="230">
        <v>111609</v>
      </c>
      <c r="OG56" s="52">
        <f>IF(AND($N$9=2,$N$21=1),NM56,IF(AND($N$9=2,$N$21=4),NN56,IF(AND($N$9=2,$N$21=5),NO56,IF(AND($N$9=2,$N$21=11),NP56,IF(AND($N$9=2,$N$21=7),NQ56,IF(AND($N$9=2,$N$21=3),NR56,IF(AND($N$9=2,$N$21=6),NS56,IF(AND($N$9=2,$N$21=9),NT56,IF(AND($N$9=2,$N$21=2),NU56,IF(AND($N$9=2,$N$21=8),NV56,IF(AND($N$9=1,$N$21=1),NW56,IF(AND($N$9=1,$N$21=1),NW56,IF(AND($N$9=1,$N$21=4),NX56,IF(AND($N$9=1,$N$21=5),NY56,IF(AND($N$9=1,$N$21=11),NZ56,IF(AND($N$9=1,$N$21=7),OA56,IF(AND($N$9=1,$N$21=3),OB56,IF(AND($N$9=1,$N$21=6),OC56,IF(AND($N$9=1,$N$21=9),OD56,IF(AND($N$9=1,$N$21=2),OE56,IF(AND($N$9=1,$N$21=8),OF56,0)))))))))))))))))))))</f>
        <v>0</v>
      </c>
      <c r="OH56" s="51"/>
      <c r="OI56" s="46"/>
      <c r="OJ56" s="46"/>
      <c r="OK56" s="46"/>
      <c r="OL56" s="46"/>
      <c r="OM56" s="46"/>
      <c r="ON56" s="46"/>
      <c r="OO56" s="46"/>
      <c r="OP56" s="46"/>
      <c r="OR56" s="46">
        <v>111240</v>
      </c>
      <c r="OS56" s="46">
        <v>111241</v>
      </c>
      <c r="OT56" s="46">
        <v>111242</v>
      </c>
      <c r="OU56" s="46">
        <v>111243</v>
      </c>
      <c r="OV56" s="46">
        <v>111244</v>
      </c>
      <c r="OW56" s="46">
        <v>111245</v>
      </c>
      <c r="OX56" s="46">
        <v>111246</v>
      </c>
      <c r="OY56" s="46">
        <v>111247</v>
      </c>
      <c r="OZ56" s="46">
        <v>111248</v>
      </c>
      <c r="PA56" s="230">
        <v>111249</v>
      </c>
      <c r="PB56" s="52">
        <f>IF(AND($N$9=2,$N$21=1),OH56,IF(AND($N$9=2,$N$21=4),OI56,IF(AND($N$9=2,$N$21=5),OJ56,IF(AND($N$9=2,$N$21=11),OK56,IF(AND($N$9=2,$N$21=7),OL56,IF(AND($N$9=2,$N$21=3),OM56,IF(AND($N$9=2,$N$21=6),ON56,IF(AND($N$9=2,$N$21=9),OO56,IF(AND($N$9=2,$N$21=2),OP56,IF(AND($N$9=2,$N$21=8),OQ56,IF(AND($N$9=1,$N$21=1),OR56,IF(AND($N$9=1,$N$21=1),OR56,IF(AND($N$9=1,$N$21=4),OS56,IF(AND($N$9=1,$N$21=5),OT56,IF(AND($N$9=1,$N$21=11),OU56,IF(AND($N$9=1,$N$21=7),OV56,IF(AND($N$9=1,$N$21=3),OW56,IF(AND($N$9=1,$N$21=6),OX56,IF(AND($N$9=1,$N$21=9),OY56,IF(AND($N$9=1,$N$21=2),OZ56,IF(AND($N$9=1,$N$21=8),PA56,0)))))))))))))))))))))</f>
        <v>0</v>
      </c>
      <c r="PC56" s="51"/>
      <c r="PD56" s="46"/>
      <c r="PE56" s="46"/>
      <c r="PF56" s="46"/>
      <c r="PG56" s="46"/>
      <c r="PH56" s="46"/>
      <c r="PI56" s="46"/>
      <c r="PJ56" s="46"/>
      <c r="PK56" s="46"/>
      <c r="PM56" s="46">
        <v>111240</v>
      </c>
      <c r="PN56" s="46">
        <v>111241</v>
      </c>
      <c r="PO56" s="46">
        <v>111242</v>
      </c>
      <c r="PP56" s="46">
        <v>111243</v>
      </c>
      <c r="PQ56" s="46">
        <v>111244</v>
      </c>
      <c r="PR56" s="46">
        <v>111245</v>
      </c>
      <c r="PS56" s="46">
        <v>111246</v>
      </c>
      <c r="PT56" s="46">
        <v>111247</v>
      </c>
      <c r="PU56" s="46">
        <v>111248</v>
      </c>
      <c r="PV56" s="230">
        <v>111249</v>
      </c>
      <c r="PW56" s="52">
        <f>IF(AND($N$9=2,$N$21=1),PC56,IF(AND($N$9=2,$N$21=4),PD56,IF(AND($N$9=2,$N$21=5),PE56,IF(AND($N$9=2,$N$21=11),PF56,IF(AND($N$9=2,$N$21=7),PG56,IF(AND($N$9=2,$N$21=3),PH56,IF(AND($N$9=2,$N$21=6),PI56,IF(AND($N$9=2,$N$21=9),PJ56,IF(AND($N$9=2,$N$21=2),PK56,IF(AND($N$9=2,$N$21=8),PL56,IF(AND($N$9=1,$N$21=1),PM56,IF(AND($N$9=1,$N$21=1),PM56,IF(AND($N$9=1,$N$21=4),PN56,IF(AND($N$9=1,$N$21=5),PO56,IF(AND($N$9=1,$N$21=11),PP56,IF(AND($N$9=1,$N$21=7),PQ56,IF(AND($N$9=1,$N$21=3),PR56,IF(AND($N$9=1,$N$21=6),PS56,IF(AND($N$9=1,$N$21=9),PT56,IF(AND($N$9=1,$N$21=2),PU56,IF(AND($N$9=1,$N$21=8),PV56,0)))))))))))))))))))))</f>
        <v>0</v>
      </c>
      <c r="PX56" s="51"/>
      <c r="PY56" s="46"/>
      <c r="PZ56" s="46"/>
      <c r="QA56" s="46"/>
      <c r="QB56" s="46"/>
      <c r="QC56" s="46"/>
      <c r="QD56" s="46"/>
      <c r="QE56" s="46"/>
      <c r="QF56" s="46"/>
      <c r="QH56" s="46">
        <v>111620</v>
      </c>
      <c r="QI56" s="46">
        <v>111621</v>
      </c>
      <c r="QJ56" s="46">
        <v>111622</v>
      </c>
      <c r="QK56" s="46">
        <v>111623</v>
      </c>
      <c r="QL56" s="46">
        <v>111624</v>
      </c>
      <c r="QM56" s="46">
        <v>111625</v>
      </c>
      <c r="QN56" s="46">
        <v>111626</v>
      </c>
      <c r="QO56" s="46">
        <v>111627</v>
      </c>
      <c r="QP56" s="46">
        <v>111628</v>
      </c>
      <c r="QQ56" s="230">
        <v>111629</v>
      </c>
      <c r="QR56" s="52">
        <f>IF(AND($N$9=2,$N$21=1),PX56,IF(AND($N$9=2,$N$21=4),PY56,IF(AND($N$9=2,$N$21=5),PZ56,IF(AND($N$9=2,$N$21=11),QA56,IF(AND($N$9=2,$N$21=7),QB56,IF(AND($N$9=2,$N$21=3),QC56,IF(AND($N$9=2,$N$21=6),QD56,IF(AND($N$9=2,$N$21=9),QE56,IF(AND($N$9=2,$N$21=2),QF56,IF(AND($N$9=2,$N$21=8),QG56,IF(AND($N$9=1,$N$21=1),QH56,IF(AND($N$9=1,$N$21=1),QH56,IF(AND($N$9=1,$N$21=4),QI56,IF(AND($N$9=1,$N$21=5),QJ56,IF(AND($N$9=1,$N$21=11),QK56,IF(AND($N$9=1,$N$21=7),QL56,IF(AND($N$9=1,$N$21=3),QM56,IF(AND($N$9=1,$N$21=6),QN56,IF(AND($N$9=1,$N$21=9),QO56,IF(AND($N$9=1,$N$21=2),QP56,IF(AND($N$9=1,$N$21=8),QQ56,0)))))))))))))))))))))</f>
        <v>0</v>
      </c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f>IF(OR(J57=Formeln!$A$51,J57=Formeln!$A$52,J57=Formeln!$A$53,J57=Formeln!$A$77,J57=Formeln!$A$78,J57=Formeln!$A$79),AN57,IF(OR(J57=Formeln!$A$54,J57=Formeln!$A$55,J57=Formeln!$A$56,J57=Formeln!$A$80,J57=Formeln!$A$81,J57=Formeln!$A$82),BI57,IF(OR(J57=Formeln!$A$57,J57=Formeln!$A$58,J57=Formeln!$A$59,J57=Formeln!$A$83,J57=Formeln!$A$84,J57=Formeln!$A$85),CD57,IF(OR(J57=Formeln!$A$60,J57=Formeln!$A$61,J57=Formeln!$A$86,J57=Formeln!$A$87),CY57,IF(OR(J57=Formeln!$A$62,J57=Formeln!$A$63,J57=Formeln!$A$64,J57=Formeln!$A$88,J57=Formeln!$A$89,J57=Formeln!$A$90),DT57,IF(OR(J57=Formeln!$A$65,J57=Formeln!$A$66,J57=Formeln!$A$91,J57=Formeln!$A$92),EO57,IF(OR(J57=Formeln!$A$67,J57=Formeln!$A$68,J57=Formeln!$A$69,J57=Formeln!$A$70,J57=Formeln!$A$71,J57=Formeln!$A$93,J57=Formeln!$A$94,J57=Formeln!$A$95,J57=Formeln!$A$96,J57=Formeln!$A$97),FJ57,IF(OR(J57=Formeln!$A$72,J57=Formeln!$A$73,J57=Formeln!$A$74,J57=Formeln!$A$98,J57=Formeln!$A$99,J57=Formeln!$A$100),GE57,0))))))))</f>
        <v>0</v>
      </c>
      <c r="E57" s="250" t="str">
        <f>VLOOKUP("ROTO Einfassung",Sprachindex!A:Z,Info!$O$6,FALSE)</f>
        <v>ROTO Einfassung</v>
      </c>
      <c r="F57" s="251"/>
      <c r="G57" s="251"/>
      <c r="H57" s="251"/>
      <c r="I57" s="101" t="str">
        <f>VLOOKUP("Maße:",Sprachindex!A:Z,Info!$O$6,FALSE)</f>
        <v>Maße:</v>
      </c>
      <c r="J57" s="252"/>
      <c r="K57" s="253"/>
      <c r="L57" s="96" t="str">
        <f>IF($A57=0,"",IF($J57=Formeln!$A$49," ",IF($N$11=1,P57,Q57)))</f>
        <v/>
      </c>
      <c r="M57" s="97"/>
      <c r="O57" s="1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/>
      <c r="U57" s="46"/>
      <c r="V57" s="46"/>
      <c r="W57" s="46"/>
      <c r="X57" s="46"/>
      <c r="Y57" s="46"/>
      <c r="Z57" s="46"/>
      <c r="AA57" s="46"/>
      <c r="AB57" s="46"/>
      <c r="AD57" s="46">
        <v>111300</v>
      </c>
      <c r="AE57" s="46">
        <v>111301</v>
      </c>
      <c r="AF57" s="46">
        <v>111302</v>
      </c>
      <c r="AG57" s="46">
        <v>111303</v>
      </c>
      <c r="AH57" s="46">
        <v>111304</v>
      </c>
      <c r="AI57" s="46">
        <v>111305</v>
      </c>
      <c r="AJ57" s="46">
        <v>111306</v>
      </c>
      <c r="AK57" s="46">
        <v>111307</v>
      </c>
      <c r="AL57" s="46">
        <v>111308</v>
      </c>
      <c r="AM57" s="229">
        <v>111309</v>
      </c>
      <c r="AN57" s="52">
        <f>IF(AND($N$9=2,$N$21=1),T57,IF(AND($N$9=2,$N$21=4),U57,IF(AND($N$9=2,$N$21=5),V57,IF(AND($N$9=2,$N$21=11),W57,IF(AND($N$9=2,$N$21=7),X57,IF(AND($N$9=2,$N$21=3),Y57,IF(AND($N$9=2,$N$21=6),Z57,IF(AND($N$9=2,$N$21=9),AA57,IF(AND($N$9=2,$N$21=2),AB57,IF(AND($N$9=2,$N$21=8),AC57,IF(AND($N$9=1,$N$21=1),AD57,IF(AND($N$9=1,$N$21=1),AD57,IF(AND($N$9=1,$N$21=4),AE57,IF(AND($N$9=1,$N$21=5),AF57,IF(AND($N$9=1,$N$21=11),AG57,IF(AND($N$9=1,$N$21=7),AH57,IF(AND($N$9=1,$N$21=3),AI57,IF(AND($N$9=1,$N$21=6),AJ57,IF(AND($N$9=1,$N$21=9),AK57,IF(AND($N$9=1,$N$21=2),AL57,IF(AND($N$9=1,$N$21=8),AM57,0)))))))))))))))))))))</f>
        <v>0</v>
      </c>
      <c r="AO57" s="46"/>
      <c r="AP57" s="46"/>
      <c r="AQ57" s="46"/>
      <c r="AR57" s="46"/>
      <c r="AS57" s="46"/>
      <c r="AT57" s="46"/>
      <c r="AU57" s="46"/>
      <c r="AV57" s="46"/>
      <c r="AW57" s="46"/>
      <c r="AY57" s="46">
        <v>111320</v>
      </c>
      <c r="AZ57" s="46">
        <v>111321</v>
      </c>
      <c r="BA57" s="46">
        <v>111322</v>
      </c>
      <c r="BB57" s="46">
        <v>111323</v>
      </c>
      <c r="BC57" s="46">
        <v>111324</v>
      </c>
      <c r="BD57" s="46">
        <v>111325</v>
      </c>
      <c r="BE57" s="46">
        <v>111326</v>
      </c>
      <c r="BF57" s="46">
        <v>111327</v>
      </c>
      <c r="BG57" s="46">
        <v>111328</v>
      </c>
      <c r="BH57" s="229">
        <v>111329</v>
      </c>
      <c r="BI57" s="52">
        <f>IF(AND($N$9=2,$N$21=1),AO57,IF(AND($N$9=2,$N$21=4),AP57,IF(AND($N$9=2,$N$21=5),AQ57,IF(AND($N$9=2,$N$21=11),AR57,IF(AND($N$9=2,$N$21=7),AS57,IF(AND($N$9=2,$N$21=3),AT57,IF(AND($N$9=2,$N$21=6),AU57,IF(AND($N$9=2,$N$21=9),AV57,IF(AND($N$9=2,$N$21=2),AW57,IF(AND($N$9=2,$N$21=8),AX57,IF(AND($N$9=1,$N$21=1),AY57,IF(AND($N$9=1,$N$21=1),AY57,IF(AND($N$9=1,$N$21=4),AZ57,IF(AND($N$9=1,$N$21=5),BA57,IF(AND($N$9=1,$N$21=11),BB57,IF(AND($N$9=1,$N$21=7),BC57,IF(AND($N$9=1,$N$21=3),BD57,IF(AND($N$9=1,$N$21=6),BE57,IF(AND($N$9=1,$N$21=9),BF57,IF(AND($N$9=1,$N$21=2),BG57,IF(AND($N$9=1,$N$21=8),BH57,0)))))))))))))))))))))</f>
        <v>0</v>
      </c>
      <c r="BJ57" s="46"/>
      <c r="BK57" s="46"/>
      <c r="BL57" s="46"/>
      <c r="BM57" s="46"/>
      <c r="BN57" s="46"/>
      <c r="BO57" s="46"/>
      <c r="BP57" s="46"/>
      <c r="BQ57" s="46"/>
      <c r="BR57" s="46"/>
      <c r="BT57" s="46">
        <v>111340</v>
      </c>
      <c r="BU57" s="46">
        <v>111341</v>
      </c>
      <c r="BV57" s="46">
        <v>111342</v>
      </c>
      <c r="BW57" s="46">
        <v>111343</v>
      </c>
      <c r="BX57" s="46">
        <v>111344</v>
      </c>
      <c r="BY57" s="46">
        <v>111345</v>
      </c>
      <c r="BZ57" s="46">
        <v>111346</v>
      </c>
      <c r="CA57" s="46">
        <v>111347</v>
      </c>
      <c r="CB57" s="46">
        <v>111348</v>
      </c>
      <c r="CC57" s="229">
        <v>111349</v>
      </c>
      <c r="CD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BT57,IF(AND($N$9=1,$N$21=1),BT57,IF(AND($N$9=1,$N$21=4),BU57,IF(AND($N$9=1,$N$21=5),BV57,IF(AND($N$9=1,$N$21=11),BW57,IF(AND($N$9=1,$N$21=7),BX57,IF(AND($N$9=1,$N$21=3),BY57,IF(AND($N$9=1,$N$21=6),BZ57,IF(AND($N$9=1,$N$21=9),CA57,IF(AND($N$9=1,$N$21=2),CB57,IF(AND($N$9=1,$N$21=8),CC57,0)))))))))))))))))))))</f>
        <v>0</v>
      </c>
      <c r="CE57" s="46"/>
      <c r="CF57" s="46"/>
      <c r="CG57" s="46"/>
      <c r="CH57" s="46"/>
      <c r="CI57" s="46"/>
      <c r="CJ57" s="46"/>
      <c r="CK57" s="46"/>
      <c r="CL57" s="46"/>
      <c r="CM57" s="46"/>
      <c r="CO57" s="46">
        <v>111360</v>
      </c>
      <c r="CP57" s="46">
        <v>111361</v>
      </c>
      <c r="CQ57" s="46">
        <v>111362</v>
      </c>
      <c r="CR57" s="46">
        <v>111363</v>
      </c>
      <c r="CS57" s="46">
        <v>111364</v>
      </c>
      <c r="CT57" s="46">
        <v>111365</v>
      </c>
      <c r="CU57" s="46">
        <v>111366</v>
      </c>
      <c r="CV57" s="46">
        <v>111367</v>
      </c>
      <c r="CW57" s="46">
        <v>111368</v>
      </c>
      <c r="CX57" s="229">
        <v>111369</v>
      </c>
      <c r="CY57" s="52">
        <f>IF(AND($N$9=2,$N$21=1),BJ57,IF(AND($N$9=2,$N$21=4),BK57,IF(AND($N$9=2,$N$21=5),BL57,IF(AND($N$9=2,$N$21=11),BM57,IF(AND($N$9=2,$N$21=7),BN57,IF(AND($N$9=2,$N$21=3),BO57,IF(AND($N$9=2,$N$21=6),BP57,IF(AND($N$9=2,$N$21=9),BQ57,IF(AND($N$9=2,$N$21=2),BR57,IF(AND($N$9=2,$N$21=8),BS57,IF(AND($N$9=1,$N$21=1),CO57,IF(AND($N$9=1,$N$21=1),CO57,IF(AND($N$9=1,$N$21=4),CP57,IF(AND($N$9=1,$N$21=5),CQ57,IF(AND($N$9=1,$N$21=11),CR57,IF(AND($N$9=1,$N$21=7),CS57,IF(AND($N$9=1,$N$21=3),CT57,IF(AND($N$9=1,$N$21=6),CU57,IF(AND($N$9=1,$N$21=9),CV57,IF(AND($N$9=1,$N$21=2),CW57,IF(AND($N$9=1,$N$21=8),CX57,0)))))))))))))))))))))</f>
        <v>0</v>
      </c>
      <c r="DJ57" s="46">
        <v>111380</v>
      </c>
      <c r="DK57" s="46">
        <v>111381</v>
      </c>
      <c r="DL57" s="46">
        <v>111382</v>
      </c>
      <c r="DM57" s="46">
        <v>111383</v>
      </c>
      <c r="DN57" s="46">
        <v>111384</v>
      </c>
      <c r="DO57" s="46">
        <v>111385</v>
      </c>
      <c r="DP57" s="46">
        <v>111386</v>
      </c>
      <c r="DQ57" s="46">
        <v>111387</v>
      </c>
      <c r="DR57" s="46">
        <v>111388</v>
      </c>
      <c r="DS57" s="229">
        <v>111389</v>
      </c>
      <c r="DT57" s="52">
        <f>IF(AND($N$9=2,$N$21=1),CE57,IF(AND($N$9=2,$N$21=4),CF57,IF(AND($N$9=2,$N$21=5),CG57,IF(AND($N$9=2,$N$21=11),CH57,IF(AND($N$9=2,$N$21=7),CI57,IF(AND($N$9=2,$N$21=3),CJ57,IF(AND($N$9=2,$N$21=6),CK57,IF(AND($N$9=2,$N$21=9),CL57,IF(AND($N$9=2,$N$21=2),CM57,IF(AND($N$9=2,$N$21=8),CN57,IF(AND($N$9=1,$N$21=1),DJ57,IF(AND($N$9=1,$N$21=1),DJ57,IF(AND($N$9=1,$N$21=4),DK57,IF(AND($N$9=1,$N$21=5),DL57,IF(AND($N$9=1,$N$21=11),DM57,IF(AND($N$9=1,$N$21=7),DN57,IF(AND($N$9=1,$N$21=3),DO57,IF(AND($N$9=1,$N$21=6),DP57,IF(AND($N$9=1,$N$21=9),DQ57,IF(AND($N$9=1,$N$21=2),DR57,IF(AND($N$9=1,$N$21=8),DS57,0)))))))))))))))))))))</f>
        <v>0</v>
      </c>
      <c r="DU57" s="46"/>
      <c r="DV57" s="46"/>
      <c r="DW57" s="46"/>
      <c r="DX57" s="46"/>
      <c r="DY57" s="46"/>
      <c r="DZ57" s="46"/>
      <c r="EA57" s="46"/>
      <c r="EB57" s="46"/>
      <c r="EC57" s="46"/>
      <c r="EE57" s="46">
        <v>111400</v>
      </c>
      <c r="EF57" s="46">
        <v>111401</v>
      </c>
      <c r="EG57" s="46">
        <v>111402</v>
      </c>
      <c r="EH57" s="46">
        <v>111403</v>
      </c>
      <c r="EI57" s="46">
        <v>111404</v>
      </c>
      <c r="EJ57" s="46">
        <v>111405</v>
      </c>
      <c r="EK57" s="46">
        <v>111406</v>
      </c>
      <c r="EL57" s="46">
        <v>111407</v>
      </c>
      <c r="EM57" s="46">
        <v>111408</v>
      </c>
      <c r="EN57" s="229">
        <v>111409</v>
      </c>
      <c r="EO57" s="52">
        <f>IF(AND($N$9=2,$N$21=1),DU57,IF(AND($N$9=2,$N$21=4),DV57,IF(AND($N$9=2,$N$21=5),DW57,IF(AND($N$9=2,$N$21=11),DX57,IF(AND($N$9=2,$N$21=7),DY57,IF(AND($N$9=2,$N$21=3),DZ57,IF(AND($N$9=2,$N$21=6),EA57,IF(AND($N$9=2,$N$21=9),EB57,IF(AND($N$9=2,$N$21=2),EC57,IF(AND($N$9=2,$N$21=8),ED57,IF(AND($N$9=1,$N$21=1),EE57,IF(AND($N$9=1,$N$21=1),EE57,IF(AND($N$9=1,$N$21=4),EF57,IF(AND($N$9=1,$N$21=5),EG57,IF(AND($N$9=1,$N$21=11),EH57,IF(AND($N$9=1,$N$21=7),EI57,IF(AND($N$9=1,$N$21=3),EJ57,IF(AND($N$9=1,$N$21=6),EK57,IF(AND($N$9=1,$N$21=9),EL57,IF(AND($N$9=1,$N$21=2),EM57,IF(AND($N$9=1,$N$21=8),EN57,0)))))))))))))))))))))</f>
        <v>0</v>
      </c>
      <c r="EP57" s="46"/>
      <c r="EQ57" s="46"/>
      <c r="ER57" s="46"/>
      <c r="ES57" s="46"/>
      <c r="ET57" s="46"/>
      <c r="EU57" s="46"/>
      <c r="EV57" s="46"/>
      <c r="EW57" s="46"/>
      <c r="EX57" s="46"/>
      <c r="EZ57" s="46">
        <v>111420</v>
      </c>
      <c r="FA57" s="46">
        <v>111421</v>
      </c>
      <c r="FB57" s="46">
        <v>111422</v>
      </c>
      <c r="FC57" s="46">
        <v>111423</v>
      </c>
      <c r="FD57" s="46">
        <v>111424</v>
      </c>
      <c r="FE57" s="46">
        <v>111425</v>
      </c>
      <c r="FF57" s="46">
        <v>111426</v>
      </c>
      <c r="FG57" s="46">
        <v>111427</v>
      </c>
      <c r="FH57" s="46">
        <v>111428</v>
      </c>
      <c r="FI57" s="229">
        <v>111429</v>
      </c>
      <c r="FJ57" s="52">
        <f>IF(AND($N$9=2,$N$21=1),EP57,IF(AND($N$9=2,$N$21=4),EQ57,IF(AND($N$9=2,$N$21=5),ER57,IF(AND($N$9=2,$N$21=11),ES57,IF(AND($N$9=2,$N$21=7),ET57,IF(AND($N$9=2,$N$21=3),EU57,IF(AND($N$9=2,$N$21=6),EV57,IF(AND($N$9=2,$N$21=9),EW57,IF(AND($N$9=2,$N$21=2),EX57,IF(AND($N$9=2,$N$21=8),EY57,IF(AND($N$9=1,$N$21=1),EZ57,IF(AND($N$9=1,$N$21=1),EZ57,IF(AND($N$9=1,$N$21=4),FA57,IF(AND($N$9=1,$N$21=5),FB57,IF(AND($N$9=1,$N$21=11),FC57,IF(AND($N$9=1,$N$21=7),FD57,IF(AND($N$9=1,$N$21=3),FE57,IF(AND($N$9=1,$N$21=6),FF57,IF(AND($N$9=1,$N$21=9),FG57,IF(AND($N$9=1,$N$21=2),FH57,IF(AND($N$9=1,$N$21=8),FI57,0)))))))))))))))))))))</f>
        <v>0</v>
      </c>
      <c r="FK57" s="46"/>
      <c r="FL57" s="46"/>
      <c r="FM57" s="46"/>
      <c r="FN57" s="46"/>
      <c r="FO57" s="46"/>
      <c r="FP57" s="46"/>
      <c r="FQ57" s="46"/>
      <c r="FR57" s="46"/>
      <c r="FS57" s="46"/>
      <c r="FU57" s="46">
        <v>111440</v>
      </c>
      <c r="FV57" s="46">
        <v>111441</v>
      </c>
      <c r="FW57" s="46">
        <v>111442</v>
      </c>
      <c r="FX57" s="46">
        <v>111443</v>
      </c>
      <c r="FY57" s="46">
        <v>111444</v>
      </c>
      <c r="FZ57" s="46">
        <v>111445</v>
      </c>
      <c r="GA57" s="46">
        <v>111446</v>
      </c>
      <c r="GB57" s="46">
        <v>111447</v>
      </c>
      <c r="GC57" s="46">
        <v>111448</v>
      </c>
      <c r="GD57" s="229">
        <v>111449</v>
      </c>
      <c r="GE57" s="52">
        <f>IF(AND($N$9=2,$N$21=1),FK57,IF(AND($N$9=2,$N$21=4),FL57,IF(AND($N$9=2,$N$21=5),FM57,IF(AND($N$9=2,$N$21=11),FN57,IF(AND($N$9=2,$N$21=7),FO57,IF(AND($N$9=2,$N$21=3),FP57,IF(AND($N$9=2,$N$21=6),FQ57,IF(AND($N$9=2,$N$21=9),FR57,IF(AND($N$9=2,$N$21=2),FS57,IF(AND($N$9=2,$N$21=8),FT57,IF(AND($N$9=1,$N$21=1),FU57,IF(AND($N$9=1,$N$21=1),FU57,IF(AND($N$9=1,$N$21=4),FV57,IF(AND($N$9=1,$N$21=5),FW57,IF(AND($N$9=1,$N$21=11),FX57,IF(AND($N$9=1,$N$21=7),FY57,IF(AND($N$9=1,$N$21=3),FZ57,IF(AND($N$9=1,$N$21=6),GA57,IF(AND($N$9=1,$N$21=9),GB57,IF(AND($N$9=1,$N$21=2),GC57,IF(AND($N$9=1,$N$21=8),GD57,0)))))))))))))))))))))</f>
        <v>0</v>
      </c>
      <c r="GZ57" s="52"/>
      <c r="HU57" s="52"/>
      <c r="IP57" s="52"/>
      <c r="JK57" s="52"/>
      <c r="KF57" s="52"/>
      <c r="LA57" s="52"/>
      <c r="LV57" s="52"/>
      <c r="MQ57" s="52"/>
      <c r="NL57" s="52"/>
      <c r="OG57" s="52"/>
      <c r="PB57" s="52"/>
      <c r="PW57" s="52"/>
      <c r="QR57" s="52"/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v>111700</v>
      </c>
      <c r="E58" s="250" t="str">
        <f>VLOOKUP("ROTO Einfassung-Q-Serie",Sprachindex!A:Z,Info!$O$6,FALSE)</f>
        <v>ROTO Einfassung-Q-Serie</v>
      </c>
      <c r="F58" s="251"/>
      <c r="G58" s="251"/>
      <c r="H58" s="251"/>
      <c r="I58" s="101" t="str">
        <f>VLOOKUP("Maße:",Sprachindex!A:Z,Info!$O$6,FALSE)</f>
        <v>Maße:</v>
      </c>
      <c r="J58" s="252"/>
      <c r="K58" s="253"/>
      <c r="L58" s="96" t="str">
        <f>IF($A58=0,"",IF($J58=Formeln!$A$49," ",IF($N$11=1,P58,Q58)))</f>
        <v/>
      </c>
      <c r="M58" s="97"/>
      <c r="O58" s="1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/>
      <c r="U58" s="46"/>
      <c r="V58" s="46"/>
      <c r="W58" s="46"/>
      <c r="X58" s="46"/>
      <c r="Y58" s="46"/>
      <c r="Z58" s="46"/>
      <c r="AA58" s="46"/>
      <c r="AB58" s="46"/>
      <c r="AD58" s="161"/>
      <c r="AE58" s="161"/>
      <c r="AF58" s="161"/>
      <c r="AG58" s="161"/>
      <c r="AH58" s="161"/>
      <c r="AI58" s="161"/>
      <c r="AJ58" s="161"/>
      <c r="AK58" s="161"/>
      <c r="AL58" s="161"/>
      <c r="AM58" s="231"/>
      <c r="AN58" s="52">
        <f>IF(AND($N$9=2,$N$21=1),T58,IF(AND($N$9=2,$N$21=4),U58,IF(AND($N$9=2,$N$21=5),V58,IF(AND($N$9=2,$N$21=11),W58,IF(AND($N$9=2,$N$21=7),X58,IF(AND($N$9=2,$N$21=3),Y58,IF(AND($N$9=2,$N$21=6),Z58,IF(AND($N$9=2,$N$21=9),AA58,IF(AND($N$9=2,$N$21=2),AB58,IF(AND($N$9=2,$N$21=8),AC58,IF(AND($N$9=1,$N$21=1),AD58,IF(AND($N$9=1,$N$21=1),AD58,IF(AND($N$9=1,$N$21=4),AE58,IF(AND($N$9=1,$N$21=5),AF58,IF(AND($N$9=1,$N$21=11),AG58,IF(AND($N$9=1,$N$21=7),AH58,IF(AND($N$9=1,$N$21=3),AI58,IF(AND($N$9=1,$N$21=6),AJ58,IF(AND($N$9=1,$N$21=9),AK58,IF(AND($N$9=1,$N$21=2),AL58,0))))))))))))))))))))</f>
        <v>0</v>
      </c>
      <c r="AO58" s="46"/>
      <c r="AP58" s="46"/>
      <c r="AQ58" s="46"/>
      <c r="AR58" s="46"/>
      <c r="AS58" s="46"/>
      <c r="AT58" s="46"/>
      <c r="AU58" s="46"/>
      <c r="AV58" s="46"/>
      <c r="AW58" s="46"/>
      <c r="AY58" s="161"/>
      <c r="AZ58" s="161"/>
      <c r="BA58" s="161"/>
      <c r="BB58" s="161"/>
      <c r="BC58" s="161"/>
      <c r="BD58" s="161"/>
      <c r="BE58" s="161"/>
      <c r="BF58" s="161"/>
      <c r="BG58" s="161"/>
      <c r="BH58" s="231"/>
      <c r="BI58" s="52">
        <f>IF(AND($N$9=2,$N$21=1),AO58,IF(AND($N$9=2,$N$21=4),AP58,IF(AND($N$9=2,$N$21=5),AQ58,IF(AND($N$9=2,$N$21=11),AR58,IF(AND($N$9=2,$N$21=7),AS58,IF(AND($N$9=2,$N$21=3),AT58,IF(AND($N$9=2,$N$21=6),AU58,IF(AND($N$9=2,$N$21=9),AV58,IF(AND($N$9=2,$N$21=2),AW58,IF(AND($N$9=2,$N$21=8),AX58,IF(AND($N$9=1,$N$21=1),AY58,IF(AND($N$9=1,$N$21=1),AY58,IF(AND($N$9=1,$N$21=4),AZ58,IF(AND($N$9=1,$N$21=5),BA58,IF(AND($N$9=1,$N$21=11),BB58,IF(AND($N$9=1,$N$21=7),BC58,IF(AND($N$9=1,$N$21=3),BD58,IF(AND($N$9=1,$N$21=6),BE58,IF(AND($N$9=1,$N$21=9),BF58,IF(AND($N$9=1,$N$21=2),BG58,0))))))))))))))))))))</f>
        <v>0</v>
      </c>
      <c r="BJ58" s="46"/>
      <c r="BK58" s="46"/>
      <c r="BL58" s="46"/>
      <c r="BM58" s="46"/>
      <c r="BN58" s="46"/>
      <c r="BO58" s="46"/>
      <c r="BP58" s="46"/>
      <c r="BQ58" s="46"/>
      <c r="BR58" s="46"/>
      <c r="BT58" s="161"/>
      <c r="BU58" s="161"/>
      <c r="BV58" s="161"/>
      <c r="BW58" s="161"/>
      <c r="BX58" s="161"/>
      <c r="BY58" s="161"/>
      <c r="BZ58" s="161"/>
      <c r="CA58" s="161"/>
      <c r="CB58" s="161"/>
      <c r="CC58" s="231"/>
      <c r="CD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BT58,IF(AND($N$9=1,$N$21=1),BT58,IF(AND($N$9=1,$N$21=4),BU58,IF(AND($N$9=1,$N$21=5),BV58,IF(AND($N$9=1,$N$21=11),BW58,IF(AND($N$9=1,$N$21=7),BX58,IF(AND($N$9=1,$N$21=3),BY58,IF(AND($N$9=1,$N$21=6),BZ58,IF(AND($N$9=1,$N$21=9),CA58,IF(AND($N$9=1,$N$21=2),CB58,0))))))))))))))))))))</f>
        <v>0</v>
      </c>
      <c r="CE58" s="46"/>
      <c r="CF58" s="46"/>
      <c r="CG58" s="46"/>
      <c r="CH58" s="46"/>
      <c r="CI58" s="46"/>
      <c r="CJ58" s="46"/>
      <c r="CK58" s="46"/>
      <c r="CL58" s="46"/>
      <c r="CM58" s="46"/>
      <c r="CO58" s="161"/>
      <c r="CP58" s="161"/>
      <c r="CQ58" s="161"/>
      <c r="CR58" s="161"/>
      <c r="CS58" s="161"/>
      <c r="CT58" s="161"/>
      <c r="CU58" s="161"/>
      <c r="CV58" s="161"/>
      <c r="CW58" s="161"/>
      <c r="CX58" s="231"/>
      <c r="CY58" s="52">
        <f>IF(AND($N$9=2,$N$21=1),BJ58,IF(AND($N$9=2,$N$21=4),BK58,IF(AND($N$9=2,$N$21=5),BL58,IF(AND($N$9=2,$N$21=11),BM58,IF(AND($N$9=2,$N$21=7),BN58,IF(AND($N$9=2,$N$21=3),BO58,IF(AND($N$9=2,$N$21=6),BP58,IF(AND($N$9=2,$N$21=9),BQ58,IF(AND($N$9=2,$N$21=2),BR58,IF(AND($N$9=2,$N$21=8),BS58,IF(AND($N$9=1,$N$21=1),CO58,IF(AND($N$9=1,$N$21=1),CO58,IF(AND($N$9=1,$N$21=4),CP58,IF(AND($N$9=1,$N$21=5),CQ58,IF(AND($N$9=1,$N$21=11),CR58,IF(AND($N$9=1,$N$21=7),CS58,IF(AND($N$9=1,$N$21=3),CT58,IF(AND($N$9=1,$N$21=6),CU58,IF(AND($N$9=1,$N$21=9),CV58,IF(AND($N$9=1,$N$21=2),CW58,0))))))))))))))))))))</f>
        <v>0</v>
      </c>
      <c r="DJ58" s="161"/>
      <c r="DK58" s="161"/>
      <c r="DL58" s="161"/>
      <c r="DM58" s="161"/>
      <c r="DN58" s="161"/>
      <c r="DO58" s="161"/>
      <c r="DP58" s="161"/>
      <c r="DQ58" s="161"/>
      <c r="DR58" s="161"/>
      <c r="DS58" s="231"/>
      <c r="DT58" s="52">
        <f>IF(AND($N$9=2,$N$21=1),CE58,IF(AND($N$9=2,$N$21=4),CF58,IF(AND($N$9=2,$N$21=5),CG58,IF(AND($N$9=2,$N$21=11),CH58,IF(AND($N$9=2,$N$21=7),CI58,IF(AND($N$9=2,$N$21=3),CJ58,IF(AND($N$9=2,$N$21=6),CK58,IF(AND($N$9=2,$N$21=9),CL58,IF(AND($N$9=2,$N$21=2),CM58,IF(AND($N$9=2,$N$21=8),CN58,IF(AND($N$9=1,$N$21=1),DJ58,IF(AND($N$9=1,$N$21=1),DJ58,IF(AND($N$9=1,$N$21=4),DK58,IF(AND($N$9=1,$N$21=5),DL58,IF(AND($N$9=1,$N$21=11),DM58,IF(AND($N$9=1,$N$21=7),DN58,IF(AND($N$9=1,$N$21=3),DO58,IF(AND($N$9=1,$N$21=6),DP58,IF(AND($N$9=1,$N$21=9),DQ58,IF(AND($N$9=1,$N$21=2),DR58,0))))))))))))))))))))</f>
        <v>0</v>
      </c>
      <c r="DU58" s="46"/>
      <c r="DV58" s="46"/>
      <c r="DW58" s="46"/>
      <c r="DX58" s="46"/>
      <c r="DY58" s="46"/>
      <c r="DZ58" s="46"/>
      <c r="EA58" s="46"/>
      <c r="EB58" s="46"/>
      <c r="EC58" s="46"/>
      <c r="EE58" s="161"/>
      <c r="EF58" s="161"/>
      <c r="EG58" s="161"/>
      <c r="EH58" s="161"/>
      <c r="EI58" s="161"/>
      <c r="EJ58" s="161"/>
      <c r="EK58" s="161"/>
      <c r="EL58" s="161"/>
      <c r="EM58" s="161"/>
      <c r="EN58" s="231"/>
      <c r="EO58" s="52">
        <f>IF(AND($N$9=2,$N$21=1),DU58,IF(AND($N$9=2,$N$21=4),DV58,IF(AND($N$9=2,$N$21=5),DW58,IF(AND($N$9=2,$N$21=11),DX58,IF(AND($N$9=2,$N$21=7),DY58,IF(AND($N$9=2,$N$21=3),DZ58,IF(AND($N$9=2,$N$21=6),EA58,IF(AND($N$9=2,$N$21=9),EB58,IF(AND($N$9=2,$N$21=2),EC58,IF(AND($N$9=2,$N$21=8),ED58,IF(AND($N$9=1,$N$21=1),EE58,IF(AND($N$9=1,$N$21=1),EE58,IF(AND($N$9=1,$N$21=4),EF58,IF(AND($N$9=1,$N$21=5),EG58,IF(AND($N$9=1,$N$21=11),EH58,IF(AND($N$9=1,$N$21=7),EI58,IF(AND($N$9=1,$N$21=3),EJ58,IF(AND($N$9=1,$N$21=6),EK58,IF(AND($N$9=1,$N$21=9),EL58,IF(AND($N$9=1,$N$21=2),EM58,0))))))))))))))))))))</f>
        <v>0</v>
      </c>
      <c r="GW58" s="160"/>
      <c r="HR58" s="160"/>
      <c r="IM58" s="160"/>
      <c r="JH58" s="160"/>
      <c r="KC58" s="160"/>
      <c r="KX58" s="160"/>
      <c r="LS58" s="160"/>
      <c r="MN58" s="160"/>
      <c r="NI58" s="160"/>
      <c r="OD58" s="160"/>
      <c r="OY58" s="160"/>
      <c r="PT58" s="160"/>
      <c r="QO58" s="160"/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f t="shared" ref="D59:D65" si="3">IF($N$21=1,T59,IF($N$21=4,U59,IF($N$21=5,V59,IF($N$21=11,W59,IF($N$21=7,X59,IF($N$21=3,Y59,IF($N$21=6,Z59,IF($N$21=9,AA59,IF($N$21=2,AB59,IF($N$21=8,AC59,0))))))))))</f>
        <v>0</v>
      </c>
      <c r="E59" s="250" t="str">
        <f>VLOOKUP("Einzeltritt",Sprachindex!A:Z,Info!$O$6,FALSE)</f>
        <v>Einzeltritt</v>
      </c>
      <c r="F59" s="251"/>
      <c r="G59" s="251"/>
      <c r="H59" s="251"/>
      <c r="I59" s="251"/>
      <c r="J59" s="251"/>
      <c r="K59" s="257"/>
      <c r="L59" s="96" t="str">
        <f t="shared" si="2"/>
        <v/>
      </c>
      <c r="M59" s="9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>
        <v>120070</v>
      </c>
      <c r="U59" s="46">
        <v>120071</v>
      </c>
      <c r="V59" s="46">
        <v>120072</v>
      </c>
      <c r="W59" s="46">
        <v>120073</v>
      </c>
      <c r="X59" s="46">
        <v>120074</v>
      </c>
      <c r="Y59" s="46">
        <v>120075</v>
      </c>
      <c r="Z59" s="46">
        <v>120076</v>
      </c>
      <c r="AA59" s="46">
        <v>120077</v>
      </c>
      <c r="AB59" s="46">
        <v>120078</v>
      </c>
      <c r="AC59" s="46">
        <v>120079</v>
      </c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>IF($N$21=1,T60,IF($N$21=4,U60,IF($N$21=5,V60,IF($N$21=11,W60,IF($N$21=7,X60,IF($N$21=3,Y60,IF($N$21=6,Z60,IF($N$21=9,AA60,IF($N$21=2,AB60,IF($N$21=8,AC60,0))))))))))</f>
        <v>0</v>
      </c>
      <c r="E60" s="250" t="str">
        <f>VLOOKUP("Laufstegstütze FT250, inkl. Zubehör",Sprachindex!A:Z,Info!$O$6,FALSE)</f>
        <v>Laufstegstütze FT250, inkl. Zubehör</v>
      </c>
      <c r="F60" s="251"/>
      <c r="G60" s="251"/>
      <c r="H60" s="251"/>
      <c r="I60" s="251"/>
      <c r="J60" s="251"/>
      <c r="K60" s="257"/>
      <c r="L60" s="96" t="str">
        <f t="shared" si="2"/>
        <v/>
      </c>
      <c r="M60" s="9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>
        <v>120080</v>
      </c>
      <c r="U60" s="46">
        <v>120081</v>
      </c>
      <c r="V60" s="46">
        <v>120082</v>
      </c>
      <c r="W60" s="46">
        <v>120083</v>
      </c>
      <c r="X60" s="46">
        <v>120084</v>
      </c>
      <c r="Y60" s="46">
        <v>120085</v>
      </c>
      <c r="Z60" s="46">
        <v>120086</v>
      </c>
      <c r="AA60" s="46">
        <v>120087</v>
      </c>
      <c r="AB60" s="46">
        <v>120088</v>
      </c>
      <c r="AC60" s="46">
        <v>120089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v>649304</v>
      </c>
      <c r="E61" s="250" t="str">
        <f>VLOOKUP("Laufstegstütze auf zwei Fussteilen, geprüft nach EN 516-1-B (360 mm)",Sprachindex!A:Z,Info!$O$6,FALSE)</f>
        <v>Laufstegstütze auf zwei Fussteilen, geprüft nach EN 516-1-B (360 mm)</v>
      </c>
      <c r="F61" s="251"/>
      <c r="G61" s="251"/>
      <c r="H61" s="251"/>
      <c r="I61" s="251"/>
      <c r="J61" s="251"/>
      <c r="K61" s="257"/>
      <c r="L61" s="96" t="str">
        <f t="shared" si="2"/>
        <v/>
      </c>
      <c r="M61" s="9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 t="shared" si="3"/>
        <v>0</v>
      </c>
      <c r="E62" s="250" t="str">
        <f>VLOOKUP("Laufsteg 250x1200mm, inkl. Befestigung ",Sprachindex!A:Z,Info!$O$6,FALSE)</f>
        <v xml:space="preserve">Laufsteg 250x1200mm, inkl. Befestigung </v>
      </c>
      <c r="F62" s="251"/>
      <c r="G62" s="251"/>
      <c r="H62" s="251"/>
      <c r="I62" s="251"/>
      <c r="J62" s="251"/>
      <c r="K62" s="257"/>
      <c r="L62" s="96" t="str">
        <f t="shared" si="2"/>
        <v/>
      </c>
      <c r="M62" s="97"/>
      <c r="O62" s="1"/>
      <c r="P62" s="191" t="str">
        <f>ROUNDUP($A62,0) &amp;" " &amp; Formeln!$A$111</f>
        <v>0 STK</v>
      </c>
      <c r="Q62" s="191" t="str">
        <f>ROUNDUP($A62,0) &amp;" " &amp; Formeln!$A$111</f>
        <v>0 STK</v>
      </c>
      <c r="T62" s="46">
        <v>120030</v>
      </c>
      <c r="U62" s="46">
        <v>120031</v>
      </c>
      <c r="V62" s="46">
        <v>120032</v>
      </c>
      <c r="W62" s="46">
        <v>120033</v>
      </c>
      <c r="X62" s="46">
        <v>120034</v>
      </c>
      <c r="Y62" s="46">
        <v>120035</v>
      </c>
      <c r="Z62" s="46">
        <v>120036</v>
      </c>
      <c r="AA62" s="46">
        <v>120037</v>
      </c>
      <c r="AB62" s="46">
        <v>120038</v>
      </c>
      <c r="AC62" s="46">
        <v>120039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f t="shared" si="3"/>
        <v>0</v>
      </c>
      <c r="E63" s="250" t="str">
        <f>VLOOKUP("Laufsteg 250x800mm, inkl. Befestigung ",Sprachindex!A:Z,Info!$O$6,FALSE)</f>
        <v xml:space="preserve">Laufsteg 250x800mm, inkl. Befestigung </v>
      </c>
      <c r="F63" s="251"/>
      <c r="G63" s="251"/>
      <c r="H63" s="251"/>
      <c r="I63" s="251"/>
      <c r="J63" s="251"/>
      <c r="K63" s="257"/>
      <c r="L63" s="96" t="str">
        <f t="shared" si="2"/>
        <v/>
      </c>
      <c r="M63" s="97"/>
      <c r="O63" s="1"/>
      <c r="P63" s="191" t="str">
        <f>ROUNDUP($A63,0) &amp;" " &amp; Formeln!$A$111</f>
        <v>0 STK</v>
      </c>
      <c r="Q63" s="191" t="str">
        <f>ROUNDUP($A63,0) &amp;" " &amp; Formeln!$A$111</f>
        <v>0 STK</v>
      </c>
      <c r="T63" s="46">
        <v>120020</v>
      </c>
      <c r="U63" s="46">
        <v>120021</v>
      </c>
      <c r="V63" s="46">
        <v>120022</v>
      </c>
      <c r="W63" s="46">
        <v>120023</v>
      </c>
      <c r="X63" s="46">
        <v>120024</v>
      </c>
      <c r="Y63" s="46">
        <v>120025</v>
      </c>
      <c r="Z63" s="46">
        <v>120026</v>
      </c>
      <c r="AA63" s="46">
        <v>120027</v>
      </c>
      <c r="AB63" s="46">
        <v>120028</v>
      </c>
      <c r="AC63" s="46">
        <v>121075</v>
      </c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f t="shared" si="3"/>
        <v>0</v>
      </c>
      <c r="E64" s="250" t="str">
        <f>VLOOKUP("Laufsteg 250x600mm, inkl. Befestigung ",Sprachindex!A:Z,Info!$O$6,FALSE)</f>
        <v xml:space="preserve">Laufsteg 250x600mm, inkl. Befestigung </v>
      </c>
      <c r="F64" s="251"/>
      <c r="G64" s="251"/>
      <c r="H64" s="251"/>
      <c r="I64" s="251"/>
      <c r="J64" s="251"/>
      <c r="K64" s="257"/>
      <c r="L64" s="96" t="str">
        <f t="shared" si="2"/>
        <v/>
      </c>
      <c r="M64" s="97"/>
      <c r="O64" s="1"/>
      <c r="P64" s="191" t="str">
        <f>ROUNDUP($A64,0) &amp;" " &amp; Formeln!$A$111</f>
        <v>0 STK</v>
      </c>
      <c r="Q64" s="191" t="str">
        <f>ROUNDUP($A64,0) &amp;" " &amp; Formeln!$A$111</f>
        <v>0 STK</v>
      </c>
      <c r="T64" s="46">
        <v>120060</v>
      </c>
      <c r="U64" s="46">
        <v>120061</v>
      </c>
      <c r="V64" s="46">
        <v>120062</v>
      </c>
      <c r="W64" s="46">
        <v>120063</v>
      </c>
      <c r="X64" s="46">
        <v>120064</v>
      </c>
      <c r="Y64" s="46">
        <v>120065</v>
      </c>
      <c r="Z64" s="46">
        <v>120066</v>
      </c>
      <c r="AA64" s="46">
        <v>120067</v>
      </c>
      <c r="AB64" s="46">
        <v>120068</v>
      </c>
      <c r="AC64" s="46">
        <v>120069</v>
      </c>
    </row>
    <row r="65" spans="1:39" ht="32.1" customHeight="1">
      <c r="A65" s="118"/>
      <c r="B65" s="96" t="str">
        <f>VLOOKUP("Stk",Sprachindex!A:Z,Info!$O$6,FALSE)</f>
        <v>STK</v>
      </c>
      <c r="C65" s="95"/>
      <c r="D65" s="95">
        <f t="shared" si="3"/>
        <v>0</v>
      </c>
      <c r="E65" s="250" t="str">
        <f>VLOOKUP("Laufsteg 250x420mm, inkl. Befestigung ",Sprachindex!A:Z,Info!$O$6,FALSE)</f>
        <v xml:space="preserve">Laufsteg 250x420mm, inkl. Befestigung </v>
      </c>
      <c r="F65" s="251"/>
      <c r="G65" s="251"/>
      <c r="H65" s="251"/>
      <c r="I65" s="251"/>
      <c r="J65" s="251"/>
      <c r="K65" s="257"/>
      <c r="L65" s="96" t="str">
        <f t="shared" si="2"/>
        <v/>
      </c>
      <c r="M65" s="97"/>
      <c r="O65" s="1"/>
      <c r="P65" s="191" t="str">
        <f>ROUNDUP($A65/4,0)*4 &amp;" " &amp; Formeln!$A$111</f>
        <v>0 STK</v>
      </c>
      <c r="Q65" s="191" t="str">
        <f>ROUNDUP($A65,0) &amp;" " &amp; Formeln!$A$111</f>
        <v>0 STK</v>
      </c>
      <c r="T65" s="46">
        <v>120010</v>
      </c>
      <c r="U65" s="46">
        <v>120011</v>
      </c>
      <c r="V65" s="46">
        <v>120012</v>
      </c>
      <c r="W65" s="46">
        <v>120013</v>
      </c>
      <c r="X65" s="46">
        <v>120014</v>
      </c>
      <c r="Y65" s="46">
        <v>120015</v>
      </c>
      <c r="Z65" s="46">
        <v>120016</v>
      </c>
      <c r="AA65" s="46">
        <v>120017</v>
      </c>
      <c r="AB65" s="46">
        <v>120018</v>
      </c>
      <c r="AC65" s="46">
        <v>120019</v>
      </c>
    </row>
    <row r="66" spans="1:39" ht="32.1" customHeight="1">
      <c r="A66" s="118"/>
      <c r="B66" s="96" t="str">
        <f>VLOOKUP("Stk",Sprachindex!A:Z,Info!$O$6,FALSE)</f>
        <v>STK</v>
      </c>
      <c r="C66" s="95"/>
      <c r="D66" s="95">
        <v>649305</v>
      </c>
      <c r="E66" s="250" t="str">
        <f>VLOOKUP("Laufsteg 360x800mm, inkl. Befestigung ",Sprachindex!A:Z,Info!$O$6,FALSE)</f>
        <v xml:space="preserve">Laufsteg 360x800mm, inkl. Befestigung </v>
      </c>
      <c r="F66" s="251"/>
      <c r="G66" s="251"/>
      <c r="H66" s="251"/>
      <c r="I66" s="251"/>
      <c r="J66" s="251"/>
      <c r="K66" s="257"/>
      <c r="L66" s="96" t="str">
        <f t="shared" si="2"/>
        <v/>
      </c>
      <c r="M66" s="9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39" ht="32.1" customHeight="1">
      <c r="A67" s="118"/>
      <c r="B67" s="96" t="str">
        <f>VLOOKUP("Stk",Sprachindex!A:Z,Info!$O$6,FALSE)</f>
        <v>STK</v>
      </c>
      <c r="C67" s="95"/>
      <c r="D67" s="95">
        <v>649306</v>
      </c>
      <c r="E67" s="250" t="str">
        <f>VLOOKUP("Laufsteg 360x1200mm, inkl. Befestigung ",Sprachindex!A:Z,Info!$O$6,FALSE)</f>
        <v xml:space="preserve">Laufsteg 360x1200mm, inkl. Befestigung </v>
      </c>
      <c r="F67" s="251"/>
      <c r="G67" s="251"/>
      <c r="H67" s="251"/>
      <c r="I67" s="251"/>
      <c r="J67" s="251"/>
      <c r="K67" s="257"/>
      <c r="L67" s="96" t="str">
        <f t="shared" si="2"/>
        <v/>
      </c>
      <c r="M67" s="97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39" ht="32.1" customHeight="1">
      <c r="A68" s="118"/>
      <c r="B68" s="96" t="str">
        <f>VLOOKUP("Stk",Sprachindex!A:Z,Info!$O$6,FALSE)</f>
        <v>STK</v>
      </c>
      <c r="C68" s="95"/>
      <c r="D68" s="100">
        <v>649001</v>
      </c>
      <c r="E68" s="250" t="str">
        <f>VLOOKUP("Laufstegverbinder 250mm breit",Sprachindex!A:Z,Info!$O$6,FALSE)</f>
        <v>Laufstegverbinder 250mm breit</v>
      </c>
      <c r="F68" s="251"/>
      <c r="G68" s="251"/>
      <c r="H68" s="251"/>
      <c r="I68" s="251"/>
      <c r="J68" s="251"/>
      <c r="K68" s="257"/>
      <c r="L68" s="96" t="str">
        <f t="shared" si="2"/>
        <v/>
      </c>
      <c r="M68" s="97"/>
      <c r="O68" s="1"/>
      <c r="P68" s="191" t="str">
        <f>ROUNDUP($A68,0) &amp;" " &amp; Formeln!$A$111</f>
        <v>0 STK</v>
      </c>
      <c r="Q68" s="191" t="str">
        <f>ROUNDUP($A68,0) &amp;" " &amp; Formeln!$A$111</f>
        <v>0 STK</v>
      </c>
      <c r="T68" s="49" t="s">
        <v>29</v>
      </c>
      <c r="U68" s="49" t="s">
        <v>30</v>
      </c>
      <c r="V68" s="49" t="s">
        <v>31</v>
      </c>
      <c r="W68" s="49" t="s">
        <v>32</v>
      </c>
      <c r="X68" s="49" t="s">
        <v>33</v>
      </c>
      <c r="Y68" s="49" t="s">
        <v>34</v>
      </c>
      <c r="Z68" s="49" t="s">
        <v>35</v>
      </c>
      <c r="AA68" s="49" t="s">
        <v>36</v>
      </c>
      <c r="AB68" s="49" t="s">
        <v>37</v>
      </c>
      <c r="AC68" s="49" t="s">
        <v>38</v>
      </c>
      <c r="AD68" s="49" t="s">
        <v>29</v>
      </c>
      <c r="AE68" s="49" t="s">
        <v>30</v>
      </c>
      <c r="AF68" s="49" t="s">
        <v>31</v>
      </c>
      <c r="AG68" s="49" t="s">
        <v>32</v>
      </c>
      <c r="AH68" s="49" t="s">
        <v>33</v>
      </c>
      <c r="AI68" s="49" t="s">
        <v>34</v>
      </c>
      <c r="AJ68" s="49" t="s">
        <v>35</v>
      </c>
      <c r="AK68" s="49" t="s">
        <v>36</v>
      </c>
      <c r="AL68" s="49" t="s">
        <v>37</v>
      </c>
      <c r="AM68" s="49" t="s">
        <v>38</v>
      </c>
    </row>
    <row r="69" spans="1:39" ht="32.1" customHeight="1">
      <c r="A69" s="118"/>
      <c r="B69" s="96" t="str">
        <f>VLOOKUP("Stk",Sprachindex!A:Z,Info!$O$6,FALSE)</f>
        <v>STK</v>
      </c>
      <c r="C69" s="95"/>
      <c r="D69" s="100">
        <v>649008</v>
      </c>
      <c r="E69" s="250" t="str">
        <f>VLOOKUP("Laufstegverbinder 360mm breit",Sprachindex!A:Z,Info!$O$6,FALSE)</f>
        <v>Laufstegverbinder 360mm breit</v>
      </c>
      <c r="F69" s="251"/>
      <c r="G69" s="251"/>
      <c r="H69" s="251"/>
      <c r="I69" s="251"/>
      <c r="J69" s="251"/>
      <c r="K69" s="257"/>
      <c r="L69" s="96" t="str">
        <f t="shared" si="2"/>
        <v/>
      </c>
      <c r="M69" s="97"/>
      <c r="O69" s="1"/>
      <c r="P69" s="191" t="str">
        <f>ROUNDUP($A69,0) &amp;" " &amp; Formeln!$A$111</f>
        <v>0 STK</v>
      </c>
      <c r="Q69" s="191" t="str">
        <f>ROUNDUP($A69,0) &amp;" " &amp; Formeln!$A$111</f>
        <v>0 STK</v>
      </c>
      <c r="T69" s="49" t="s">
        <v>29</v>
      </c>
      <c r="U69" s="49" t="s">
        <v>30</v>
      </c>
      <c r="V69" s="49" t="s">
        <v>31</v>
      </c>
      <c r="W69" s="49" t="s">
        <v>32</v>
      </c>
      <c r="X69" s="49" t="s">
        <v>33</v>
      </c>
      <c r="Y69" s="49" t="s">
        <v>34</v>
      </c>
      <c r="Z69" s="49" t="s">
        <v>35</v>
      </c>
      <c r="AA69" s="49" t="s">
        <v>36</v>
      </c>
      <c r="AB69" s="49" t="s">
        <v>37</v>
      </c>
      <c r="AC69" s="49" t="s">
        <v>38</v>
      </c>
      <c r="AD69" s="49" t="s">
        <v>29</v>
      </c>
      <c r="AE69" s="49" t="s">
        <v>30</v>
      </c>
      <c r="AF69" s="49" t="s">
        <v>31</v>
      </c>
      <c r="AG69" s="49" t="s">
        <v>32</v>
      </c>
      <c r="AH69" s="49" t="s">
        <v>33</v>
      </c>
      <c r="AI69" s="49" t="s">
        <v>34</v>
      </c>
      <c r="AJ69" s="49" t="s">
        <v>35</v>
      </c>
      <c r="AK69" s="49" t="s">
        <v>36</v>
      </c>
      <c r="AL69" s="49" t="s">
        <v>37</v>
      </c>
      <c r="AM69" s="49" t="s">
        <v>38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100">
        <v>635661</v>
      </c>
      <c r="E70" s="250" t="str">
        <f>VLOOKUP("Sicherheitsdachhaken nach EN 517 B, mit Tellerfüßen",Sprachindex!A:Z,Info!$O$6,FALSE)</f>
        <v>Sicherheitsdachhaken nach EN 517 B, mit Tellerfüßen</v>
      </c>
      <c r="F70" s="251"/>
      <c r="G70" s="251"/>
      <c r="H70" s="251"/>
      <c r="I70" s="251"/>
      <c r="J70" s="251"/>
      <c r="K70" s="257"/>
      <c r="L70" s="96" t="str">
        <f t="shared" si="2"/>
        <v/>
      </c>
      <c r="M70" s="102"/>
      <c r="O70" s="1"/>
      <c r="P70" s="191" t="str">
        <f>ROUNDUP($A70,0) &amp;" " &amp; Formeln!$A$111</f>
        <v>0 STK</v>
      </c>
      <c r="Q70" s="191" t="str">
        <f>ROUNDUP($A70,0) &amp;" " &amp; Formeln!$A$111</f>
        <v>0 STK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ref="D71:D77" si="4">IF($N$21=1,T71,IF($N$21=4,U71,IF($N$21=5,V71,IF($N$21=11,W71,IF($N$21=7,X71,IF($N$21=3,Y71,IF($N$21=6,Z71,IF($N$21=9,AA71,IF($N$21=2,AB71,IF($N$21=8,AC71,0))))))))))</f>
        <v>0</v>
      </c>
      <c r="E71" s="250" t="str">
        <f>VLOOKUP("Dachsicherheitshaken, nach DIN EN 517 B",Sprachindex!A:Z,Info!$O$6,FALSE)</f>
        <v>Dachsicherheitshaken, nach DIN EN 517 B</v>
      </c>
      <c r="F71" s="251"/>
      <c r="G71" s="251"/>
      <c r="H71" s="251"/>
      <c r="I71" s="251"/>
      <c r="J71" s="251"/>
      <c r="K71" s="257"/>
      <c r="L71" s="96" t="str">
        <f t="shared" si="2"/>
        <v/>
      </c>
      <c r="M71" s="102"/>
      <c r="O71" s="1"/>
      <c r="P71" s="191" t="str">
        <f>ROUNDUP($A71/12,0)*12 &amp;" " &amp; Formeln!$A$111</f>
        <v>0 STK</v>
      </c>
      <c r="Q71" s="191" t="str">
        <f>ROUNDUP($A71,0) &amp;" " &amp; Formeln!$A$111</f>
        <v>0 STK</v>
      </c>
      <c r="T71" s="46">
        <v>120000</v>
      </c>
      <c r="U71" s="46">
        <v>120001</v>
      </c>
      <c r="V71" s="46">
        <v>120002</v>
      </c>
      <c r="W71" s="46">
        <v>120003</v>
      </c>
      <c r="X71" s="46">
        <v>120004</v>
      </c>
      <c r="Y71" s="46">
        <v>120005</v>
      </c>
      <c r="Z71" s="46">
        <v>120006</v>
      </c>
      <c r="AA71" s="46">
        <v>120007</v>
      </c>
      <c r="AB71" s="46">
        <v>120008</v>
      </c>
      <c r="AC71" s="46">
        <v>120009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4"/>
        <v>0</v>
      </c>
      <c r="E72" s="250" t="str">
        <f>VLOOKUP("Einfassungsplatte, für Dachraute 29x29",Sprachindex!A:Z,Info!$O$6,FALSE)</f>
        <v>Einfassungsplatte, für Dachraute 29x29</v>
      </c>
      <c r="F72" s="251"/>
      <c r="G72" s="251"/>
      <c r="H72" s="251"/>
      <c r="I72" s="251"/>
      <c r="J72" s="251"/>
      <c r="K72" s="257"/>
      <c r="L72" s="96" t="str">
        <f t="shared" si="2"/>
        <v/>
      </c>
      <c r="M72" s="102"/>
      <c r="O72" s="1"/>
      <c r="P72" s="191" t="str">
        <f>ROUNDUP($A72/10,0)*20 &amp;" " &amp; Formeln!$A$111</f>
        <v>0 STK</v>
      </c>
      <c r="Q72" s="191" t="str">
        <f>ROUNDUP($A72,0) &amp;" " &amp; Formeln!$A$111</f>
        <v>0 STK</v>
      </c>
      <c r="T72" s="46">
        <v>110250</v>
      </c>
      <c r="U72" s="46">
        <v>110251</v>
      </c>
      <c r="V72" s="46">
        <v>110252</v>
      </c>
      <c r="W72" s="46">
        <v>110253</v>
      </c>
      <c r="X72" s="46">
        <v>110254</v>
      </c>
      <c r="Y72" s="46">
        <v>110255</v>
      </c>
      <c r="Z72" s="46">
        <v>110256</v>
      </c>
      <c r="AA72" s="46">
        <v>110257</v>
      </c>
      <c r="AB72" s="46">
        <v>110258</v>
      </c>
      <c r="AC72" s="46">
        <v>110259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4"/>
        <v>0</v>
      </c>
      <c r="E73" s="250" t="str">
        <f>VLOOKUP("Einfassungsplatte, zum Einfalzen",Sprachindex!A:Z,Info!$O$6,FALSE)</f>
        <v>Einfassungsplatte, zum Einfalzen</v>
      </c>
      <c r="F73" s="251"/>
      <c r="G73" s="251"/>
      <c r="H73" s="251"/>
      <c r="I73" s="251"/>
      <c r="J73" s="251"/>
      <c r="K73" s="257"/>
      <c r="L73" s="96" t="str">
        <f t="shared" si="2"/>
        <v/>
      </c>
      <c r="M73" s="102"/>
      <c r="O73" s="1"/>
      <c r="P73" s="191" t="str">
        <f>ROUNDUP($A73/5,0)*5 &amp;" " &amp; Formeln!$A$111</f>
        <v>0 STK</v>
      </c>
      <c r="Q73" s="191" t="str">
        <f>ROUNDUP($A73,0) &amp;" " &amp; Formeln!$A$111</f>
        <v>0 STK</v>
      </c>
      <c r="T73" s="46">
        <v>110230</v>
      </c>
      <c r="U73" s="46">
        <v>110231</v>
      </c>
      <c r="V73" s="46">
        <v>110232</v>
      </c>
      <c r="W73" s="46">
        <v>110233</v>
      </c>
      <c r="X73" s="46">
        <v>110234</v>
      </c>
      <c r="Y73" s="46">
        <v>110235</v>
      </c>
      <c r="Z73" s="46">
        <v>110236</v>
      </c>
      <c r="AA73" s="46">
        <v>110237</v>
      </c>
      <c r="AB73" s="46">
        <v>110238</v>
      </c>
      <c r="AC73" s="46">
        <v>110239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4"/>
        <v>0</v>
      </c>
      <c r="E74" s="250" t="str">
        <f>VLOOKUP("Universaleinfassungsplatte, 2-teilig ",Sprachindex!A:Z,Info!$O$6,FALSE)</f>
        <v xml:space="preserve">Universaleinfassungsplatte, 2-teilig </v>
      </c>
      <c r="F74" s="251"/>
      <c r="G74" s="251"/>
      <c r="H74" s="251"/>
      <c r="I74" s="251"/>
      <c r="J74" s="251"/>
      <c r="K74" s="257"/>
      <c r="L74" s="96" t="str">
        <f t="shared" si="2"/>
        <v/>
      </c>
      <c r="M74" s="102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T74" s="46">
        <v>110240</v>
      </c>
      <c r="U74" s="46">
        <v>110241</v>
      </c>
      <c r="V74" s="46">
        <v>110242</v>
      </c>
      <c r="W74" s="46">
        <v>110243</v>
      </c>
      <c r="X74" s="46">
        <v>110244</v>
      </c>
      <c r="Y74" s="46">
        <v>110245</v>
      </c>
      <c r="Z74" s="46">
        <v>110246</v>
      </c>
      <c r="AA74" s="46">
        <v>110247</v>
      </c>
      <c r="AB74" s="46">
        <v>110248</v>
      </c>
      <c r="AC74" s="46">
        <v>110249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95">
        <f t="shared" si="4"/>
        <v>0</v>
      </c>
      <c r="E75" s="250" t="str">
        <f>VLOOKUP("Entlüftungshaube 100",Sprachindex!A:Z,Info!$O$6,FALSE)</f>
        <v>Entlüftungshaube 100</v>
      </c>
      <c r="F75" s="251"/>
      <c r="G75" s="251"/>
      <c r="H75" s="251"/>
      <c r="I75" s="251"/>
      <c r="J75" s="251"/>
      <c r="K75" s="257"/>
      <c r="L75" s="96" t="str">
        <f t="shared" si="2"/>
        <v/>
      </c>
      <c r="M75" s="102"/>
      <c r="O75" s="1"/>
      <c r="P75" s="191" t="str">
        <f>ROUNDUP($A75,0) &amp;" " &amp; Formeln!$A$111</f>
        <v>0 STK</v>
      </c>
      <c r="Q75" s="191" t="str">
        <f>ROUNDUP($A75,0) &amp;" " &amp; Formeln!$A$111</f>
        <v>0 STK</v>
      </c>
      <c r="T75" s="46">
        <v>110280</v>
      </c>
      <c r="U75" s="46">
        <v>110281</v>
      </c>
      <c r="V75" s="46">
        <v>110282</v>
      </c>
      <c r="W75" s="46">
        <v>110283</v>
      </c>
      <c r="X75" s="46">
        <v>110284</v>
      </c>
      <c r="Y75" s="46">
        <v>110285</v>
      </c>
      <c r="Z75" s="46">
        <v>110286</v>
      </c>
      <c r="AA75" s="46">
        <v>110287</v>
      </c>
      <c r="AB75" s="46">
        <v>110288</v>
      </c>
      <c r="AC75" s="46">
        <v>110289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95">
        <f t="shared" si="4"/>
        <v>0</v>
      </c>
      <c r="E76" s="250" t="str">
        <f>VLOOKUP("Entlüftungsrohr DM 100",Sprachindex!A:Z,Info!$O$6,FALSE)</f>
        <v>Entlüftungsrohr DM 100</v>
      </c>
      <c r="F76" s="251"/>
      <c r="G76" s="251"/>
      <c r="H76" s="251"/>
      <c r="I76" s="251"/>
      <c r="J76" s="251"/>
      <c r="K76" s="257"/>
      <c r="L76" s="96" t="str">
        <f t="shared" si="2"/>
        <v/>
      </c>
      <c r="M76" s="102"/>
      <c r="O76" s="1"/>
      <c r="P76" s="191" t="str">
        <f>ROUNDUP($A76,0) &amp;" " &amp; Formeln!$A$111</f>
        <v>0 STK</v>
      </c>
      <c r="Q76" s="191" t="str">
        <f>ROUNDUP($A76,0) &amp;" " &amp; Formeln!$A$111</f>
        <v>0 STK</v>
      </c>
      <c r="T76" s="46">
        <v>110200</v>
      </c>
      <c r="U76" s="46">
        <v>110201</v>
      </c>
      <c r="V76" s="46">
        <v>110202</v>
      </c>
      <c r="W76" s="46">
        <v>110203</v>
      </c>
      <c r="X76" s="46">
        <v>110204</v>
      </c>
      <c r="Y76" s="46">
        <v>110205</v>
      </c>
      <c r="Z76" s="46">
        <v>110206</v>
      </c>
      <c r="AA76" s="46">
        <v>110207</v>
      </c>
      <c r="AB76" s="46">
        <v>110208</v>
      </c>
      <c r="AC76" s="46">
        <v>121015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 t="shared" si="4"/>
        <v>0</v>
      </c>
      <c r="E77" s="250" t="str">
        <f>VLOOKUP("Entlüftungsrohr DM 120",Sprachindex!A:Z,Info!$O$6,FALSE)</f>
        <v>Entlüftungsrohr DM 120</v>
      </c>
      <c r="F77" s="251"/>
      <c r="G77" s="251"/>
      <c r="H77" s="251"/>
      <c r="I77" s="251"/>
      <c r="J77" s="251"/>
      <c r="K77" s="257"/>
      <c r="L77" s="96" t="str">
        <f t="shared" si="2"/>
        <v/>
      </c>
      <c r="M77" s="102"/>
      <c r="O77" s="1"/>
      <c r="P77" s="191" t="str">
        <f>ROUNDUP($A77,0) &amp;" " &amp; Formeln!$A$111</f>
        <v>0 STK</v>
      </c>
      <c r="Q77" s="191" t="str">
        <f>ROUNDUP($A77,0) &amp;" " &amp; Formeln!$A$111</f>
        <v>0 STK</v>
      </c>
      <c r="T77" s="46">
        <v>110210</v>
      </c>
      <c r="U77" s="46">
        <v>110211</v>
      </c>
      <c r="V77" s="46">
        <v>110212</v>
      </c>
      <c r="W77" s="46">
        <v>110213</v>
      </c>
      <c r="X77" s="46">
        <v>110214</v>
      </c>
      <c r="Y77" s="46">
        <v>110215</v>
      </c>
      <c r="Z77" s="46">
        <v>110216</v>
      </c>
      <c r="AA77" s="46">
        <v>110217</v>
      </c>
      <c r="AB77" s="46">
        <v>110218</v>
      </c>
      <c r="AC77" s="46">
        <v>121025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100">
        <v>340943</v>
      </c>
      <c r="E78" s="250" t="str">
        <f>VLOOKUP("Faltmanschette 100",Sprachindex!A:Z,Info!$O$6,FALSE)</f>
        <v>Faltmanschette 100</v>
      </c>
      <c r="F78" s="251"/>
      <c r="G78" s="251"/>
      <c r="H78" s="251"/>
      <c r="I78" s="251"/>
      <c r="J78" s="251"/>
      <c r="K78" s="257"/>
      <c r="L78" s="96" t="str">
        <f t="shared" si="2"/>
        <v/>
      </c>
      <c r="M78" s="102"/>
      <c r="O78" s="1"/>
      <c r="P78" s="191" t="str">
        <f>ROUNDUP($A78,0) &amp;" " &amp; Formeln!$A$111</f>
        <v>0 STK</v>
      </c>
      <c r="Q78" s="191" t="str">
        <f>ROUNDUP($A78,0) &amp;" " &amp; Formeln!$A$111</f>
        <v>0 STK</v>
      </c>
      <c r="T78" s="49" t="s">
        <v>29</v>
      </c>
      <c r="U78" s="49" t="s">
        <v>30</v>
      </c>
      <c r="V78" s="49" t="s">
        <v>31</v>
      </c>
      <c r="W78" s="49" t="s">
        <v>32</v>
      </c>
      <c r="X78" s="49" t="s">
        <v>33</v>
      </c>
      <c r="Y78" s="49" t="s">
        <v>34</v>
      </c>
      <c r="Z78" s="49" t="s">
        <v>35</v>
      </c>
      <c r="AA78" s="49" t="s">
        <v>36</v>
      </c>
      <c r="AB78" s="49" t="s">
        <v>37</v>
      </c>
      <c r="AC78" s="49" t="s">
        <v>38</v>
      </c>
      <c r="AD78" s="49" t="s">
        <v>29</v>
      </c>
      <c r="AE78" s="49" t="s">
        <v>30</v>
      </c>
      <c r="AF78" s="49" t="s">
        <v>31</v>
      </c>
      <c r="AG78" s="49" t="s">
        <v>32</v>
      </c>
      <c r="AH78" s="49" t="s">
        <v>33</v>
      </c>
      <c r="AI78" s="49" t="s">
        <v>34</v>
      </c>
      <c r="AJ78" s="49" t="s">
        <v>35</v>
      </c>
      <c r="AK78" s="49" t="s">
        <v>36</v>
      </c>
      <c r="AL78" s="49" t="s">
        <v>37</v>
      </c>
      <c r="AM78" s="49" t="s">
        <v>38</v>
      </c>
    </row>
    <row r="79" spans="1:39" ht="32.1" customHeight="1">
      <c r="A79" s="118"/>
      <c r="B79" s="96" t="str">
        <f>VLOOKUP("Stk",Sprachindex!A:Z,Info!$O$6,FALSE)</f>
        <v>STK</v>
      </c>
      <c r="C79" s="98"/>
      <c r="D79" s="95">
        <f>IF(AND($N$9=2,$N$21=1),T79,IF(AND($N$9=2,$N$21=4),U79,IF(AND($N$9=2,$N$21=5),V79,IF(AND($N$9=2,$N$21=11),W79,IF(AND($N$9=2,$N$21=7),X79,IF(AND($N$9=2,$N$21=3),Y79,IF(AND($N$9=2,$N$21=6),Z79,IF(AND($N$9=2,$N$21=9),AA79,IF(AND($N$9=2,$N$21=2),AB79,IF(AND($N$9=2,$N$21=8),AC79,IF(AND($N$9=1,$N$21=1),AD79,IF(AND($N$9=1,$N$21=1),AD79,IF(AND($N$9=1,$N$21=4),AE79,IF(AND($N$9=1,$N$21=5),AF79,IF(AND($N$9=1,$N$21=11),AG79,IF(AND($N$9=1,$N$21=7),AH79,IF(AND($N$9=1,$N$21=3),AI79,IF(AND($N$9=1,$N$21=6),AJ79,IF(AND($N$9=1,$N$21=9),AK79,IF(AND($N$9=1,$N$21=2),AL79,IF(AND($N$9=1,$N$21=8),AM79,0)))))))))))))))))))))</f>
        <v>0</v>
      </c>
      <c r="E79" s="250" t="str">
        <f>VLOOKUP("Unterlagsplatte, für DS, DR29, DP, R.16, FX.12",Sprachindex!A:Z,Info!$O$6,FALSE)</f>
        <v>Unterlagsplatte, für DS, DR29, DP, R.16, FX.12</v>
      </c>
      <c r="F79" s="251"/>
      <c r="G79" s="251"/>
      <c r="H79" s="251"/>
      <c r="I79" s="251"/>
      <c r="J79" s="251"/>
      <c r="K79" s="257"/>
      <c r="L79" s="96" t="str">
        <f t="shared" si="2"/>
        <v/>
      </c>
      <c r="M79" s="102"/>
      <c r="O79" s="1"/>
      <c r="P79" s="191" t="str">
        <f>ROUNDUP($A79/15,0)*15 &amp;" " &amp; Formeln!$A$111</f>
        <v>0 STK</v>
      </c>
      <c r="Q79" s="191" t="str">
        <f>ROUNDUP($A79,0) &amp;" " &amp; Formeln!$A$111</f>
        <v>0 STK</v>
      </c>
      <c r="T79" s="46">
        <v>110360</v>
      </c>
      <c r="U79" s="46">
        <v>110361</v>
      </c>
      <c r="V79" s="46">
        <v>110362</v>
      </c>
      <c r="W79" s="46">
        <v>110363</v>
      </c>
      <c r="X79" s="46">
        <v>110364</v>
      </c>
      <c r="Y79" s="46">
        <v>110365</v>
      </c>
      <c r="Z79" s="46">
        <v>110366</v>
      </c>
      <c r="AA79" s="46">
        <v>110367</v>
      </c>
      <c r="AB79" s="46">
        <v>110368</v>
      </c>
      <c r="AD79" s="46">
        <v>110370</v>
      </c>
      <c r="AE79" s="46">
        <v>110371</v>
      </c>
      <c r="AF79" s="46">
        <v>110372</v>
      </c>
      <c r="AG79" s="46">
        <v>110373</v>
      </c>
      <c r="AH79" s="46">
        <v>110374</v>
      </c>
      <c r="AI79" s="46">
        <v>110375</v>
      </c>
      <c r="AJ79" s="46">
        <v>110376</v>
      </c>
      <c r="AK79" s="46">
        <v>110377</v>
      </c>
      <c r="AL79" s="46">
        <v>110378</v>
      </c>
      <c r="AM79" s="1">
        <v>110379</v>
      </c>
    </row>
    <row r="80" spans="1:39" ht="32.1" customHeight="1">
      <c r="A80" s="118"/>
      <c r="B80" s="96" t="str">
        <f>VLOOKUP("Stk",Sprachindex!A:Z,Info!$O$6,FALSE)</f>
        <v>STK</v>
      </c>
      <c r="C80" s="98"/>
      <c r="D80" s="95">
        <f t="shared" ref="D80:D93" si="5">IF($N$21=1,T80,IF($N$21=4,U80,IF($N$21=5,V80,IF($N$21=11,W80,IF($N$21=7,X80,IF($N$21=3,Y80,IF($N$21=6,Z80,IF($N$21=9,AA80,IF($N$21=2,AB80,IF($N$21=8,AC80,0))))))))))</f>
        <v>0</v>
      </c>
      <c r="E80" s="250" t="str">
        <f>VLOOKUP("Schneestopper für Dachraute 29 × 29",Sprachindex!A:Z,Info!$O$6,FALSE)</f>
        <v>Schneestopper für Dachraute 29 × 29</v>
      </c>
      <c r="F80" s="251"/>
      <c r="G80" s="251"/>
      <c r="H80" s="251"/>
      <c r="I80" s="251"/>
      <c r="J80" s="251"/>
      <c r="K80" s="257"/>
      <c r="L80" s="96" t="str">
        <f t="shared" si="2"/>
        <v/>
      </c>
      <c r="M80" s="102"/>
      <c r="O80" s="1"/>
      <c r="P80" s="191" t="str">
        <f>ROUNDUP($A80/100,0)*100 &amp;" " &amp; Formeln!$A$111</f>
        <v>0 STK</v>
      </c>
      <c r="Q80" s="191" t="str">
        <f>ROUNDUP($A80,0) &amp;" " &amp; Formeln!$A$111</f>
        <v>0 STK</v>
      </c>
      <c r="T80" s="46">
        <v>110300</v>
      </c>
      <c r="U80" s="46">
        <v>110301</v>
      </c>
      <c r="V80" s="46">
        <v>110302</v>
      </c>
      <c r="W80" s="46">
        <v>110303</v>
      </c>
      <c r="X80" s="46">
        <v>110304</v>
      </c>
      <c r="Y80" s="46">
        <v>110305</v>
      </c>
      <c r="Z80" s="46">
        <v>110306</v>
      </c>
      <c r="AA80" s="46">
        <v>110307</v>
      </c>
      <c r="AB80" s="46">
        <v>110308</v>
      </c>
      <c r="AC80" s="46">
        <v>110309</v>
      </c>
    </row>
    <row r="81" spans="1:29" ht="32.1" customHeight="1">
      <c r="A81" s="118"/>
      <c r="B81" s="96" t="str">
        <f>VLOOKUP("Stk",Sprachindex!A:Z,Info!$O$6,FALSE)</f>
        <v>STK</v>
      </c>
      <c r="C81" s="98"/>
      <c r="D81" s="95">
        <f t="shared" si="5"/>
        <v>0</v>
      </c>
      <c r="E81" s="250" t="str">
        <f>VLOOKUP("Haken für Schneerechensystem, inkl. Befestigungsmaterial",Sprachindex!A:Z,Info!$O$6,FALSE)</f>
        <v>Haken für Schneerechensystem, inkl. Befestigungsmaterial</v>
      </c>
      <c r="F81" s="251"/>
      <c r="G81" s="251"/>
      <c r="H81" s="251"/>
      <c r="I81" s="251"/>
      <c r="J81" s="251"/>
      <c r="K81" s="257"/>
      <c r="L81" s="96" t="str">
        <f t="shared" si="2"/>
        <v/>
      </c>
      <c r="M81" s="102"/>
      <c r="O81" s="1"/>
      <c r="P81" s="191" t="str">
        <f>ROUNDUP($A81/2,0)*2 &amp;" " &amp; Formeln!$A$111</f>
        <v>0 STK</v>
      </c>
      <c r="Q81" s="191" t="str">
        <f>ROUNDUP($A81,0) &amp;" " &amp; Formeln!$A$111</f>
        <v>0 STK</v>
      </c>
      <c r="T81" s="46">
        <v>120180</v>
      </c>
      <c r="U81" s="46">
        <v>120181</v>
      </c>
      <c r="V81" s="46">
        <v>120182</v>
      </c>
      <c r="W81" s="46">
        <v>120183</v>
      </c>
      <c r="X81" s="46">
        <v>120184</v>
      </c>
      <c r="Y81" s="46">
        <v>120185</v>
      </c>
      <c r="Z81" s="46">
        <v>120186</v>
      </c>
      <c r="AA81" s="46">
        <v>120187</v>
      </c>
      <c r="AB81" s="46">
        <v>120188</v>
      </c>
      <c r="AC81" s="46">
        <v>120189</v>
      </c>
    </row>
    <row r="82" spans="1:29" ht="32.1" customHeight="1">
      <c r="A82" s="118"/>
      <c r="B82" s="96" t="str">
        <f>VLOOKUP("lfm",Sprachindex!A:Z,Info!$O$6,FALSE)</f>
        <v>lfm</v>
      </c>
      <c r="C82" s="98"/>
      <c r="D82" s="95">
        <f t="shared" si="5"/>
        <v>0</v>
      </c>
      <c r="E82" s="250" t="str">
        <f>VLOOKUP("Einlegeprofil f.Schneerechensystem, 3m",Sprachindex!A:Z,Info!$O$6,FALSE)</f>
        <v>Einlegeprofil f.Schneerechensystem, 3m</v>
      </c>
      <c r="F82" s="251"/>
      <c r="G82" s="251"/>
      <c r="H82" s="251"/>
      <c r="I82" s="251"/>
      <c r="J82" s="251"/>
      <c r="K82" s="257"/>
      <c r="L82" s="96" t="str">
        <f t="shared" si="2"/>
        <v/>
      </c>
      <c r="M82" s="102"/>
      <c r="O82" s="1"/>
      <c r="P82" s="191" t="str">
        <f>ROUNDUP($A82/3,0)*3 &amp;" " &amp; Formeln!$A$112 &amp; "                " &amp; "(="&amp;ROUNDUP($A82/3,0) &amp; " " &amp;Formeln!$A$111 &amp; ")"</f>
        <v>0 lfm                (=0 STK)</v>
      </c>
      <c r="Q82" s="191" t="str">
        <f>ROUNDUP($A82/3,0)*3 &amp;" " &amp; Formeln!$A$112 &amp; "                " &amp; "(="&amp;ROUNDUP($A82/3,0) &amp; " " &amp;Formeln!$A$111 &amp; ")"</f>
        <v>0 lfm                (=0 STK)</v>
      </c>
      <c r="T82" s="46">
        <v>120350</v>
      </c>
      <c r="U82" s="46">
        <v>120351</v>
      </c>
      <c r="V82" s="46">
        <v>120352</v>
      </c>
      <c r="W82" s="46">
        <v>120353</v>
      </c>
      <c r="X82" s="46">
        <v>120354</v>
      </c>
      <c r="Y82" s="46">
        <v>120355</v>
      </c>
      <c r="Z82" s="46">
        <v>120356</v>
      </c>
      <c r="AA82" s="46">
        <v>120357</v>
      </c>
      <c r="AB82" s="46">
        <v>120358</v>
      </c>
      <c r="AC82" s="46">
        <v>120359</v>
      </c>
    </row>
    <row r="83" spans="1:29" ht="32.1" customHeight="1">
      <c r="A83" s="118"/>
      <c r="B83" s="96" t="str">
        <f>VLOOKUP("Stk",Sprachindex!A:Z,Info!$O$6,FALSE)</f>
        <v>STK</v>
      </c>
      <c r="C83" s="98"/>
      <c r="D83" s="95">
        <f t="shared" si="5"/>
        <v>0</v>
      </c>
      <c r="E83" s="250" t="str">
        <f>VLOOKUP("Eiskralle f. Einlegeprofil",Sprachindex!A:Z,Info!$O$6,FALSE)</f>
        <v>Eiskralle f. Einlegeprofil</v>
      </c>
      <c r="F83" s="251"/>
      <c r="G83" s="251"/>
      <c r="H83" s="251"/>
      <c r="I83" s="251"/>
      <c r="J83" s="251"/>
      <c r="K83" s="257"/>
      <c r="L83" s="96" t="str">
        <f t="shared" si="2"/>
        <v/>
      </c>
      <c r="M83" s="102"/>
      <c r="O83" s="1"/>
      <c r="P83" s="191" t="str">
        <f>ROUNDUP($A83/100,0)*100 &amp;" " &amp; Formeln!$A$111</f>
        <v>0 STK</v>
      </c>
      <c r="Q83" s="191" t="str">
        <f>ROUNDUP($A83,0) &amp;" " &amp; Formeln!$A$111</f>
        <v>0 STK</v>
      </c>
      <c r="T83" s="46">
        <v>120700</v>
      </c>
      <c r="U83" s="46">
        <v>120701</v>
      </c>
      <c r="V83" s="46">
        <v>120702</v>
      </c>
      <c r="W83" s="46">
        <v>120703</v>
      </c>
      <c r="X83" s="46">
        <v>120704</v>
      </c>
      <c r="Y83" s="46">
        <v>120705</v>
      </c>
      <c r="Z83" s="46">
        <v>120706</v>
      </c>
      <c r="AA83" s="46">
        <v>120707</v>
      </c>
      <c r="AB83" s="46">
        <v>120708</v>
      </c>
      <c r="AC83" s="46">
        <v>120709</v>
      </c>
    </row>
    <row r="84" spans="1:29" ht="32.1" customHeight="1">
      <c r="A84" s="118"/>
      <c r="B84" s="96" t="str">
        <f>VLOOKUP("Stk",Sprachindex!A:Z,Info!$O$6,FALSE)</f>
        <v>STK</v>
      </c>
      <c r="C84" s="98"/>
      <c r="D84" s="95">
        <f t="shared" si="5"/>
        <v>0</v>
      </c>
      <c r="E84" s="250" t="str">
        <f>VLOOKUP("Abschluss f. Schneerechensystem",Sprachindex!A:Z,Info!$O$6,FALSE)</f>
        <v>Abschluss f. Schneerechensystem</v>
      </c>
      <c r="F84" s="251"/>
      <c r="G84" s="251"/>
      <c r="H84" s="251"/>
      <c r="I84" s="251"/>
      <c r="J84" s="251"/>
      <c r="K84" s="257"/>
      <c r="L84" s="96" t="str">
        <f t="shared" si="2"/>
        <v/>
      </c>
      <c r="M84" s="102"/>
      <c r="O84" s="1"/>
      <c r="P84" s="191" t="str">
        <f>ROUNDUP($A84/2,0)*2 &amp;" " &amp; Formeln!$A$111</f>
        <v>0 STK</v>
      </c>
      <c r="Q84" s="191" t="str">
        <f>ROUNDUP($A84,0) &amp;" " &amp; Formeln!$A$111</f>
        <v>0 STK</v>
      </c>
      <c r="T84" s="46">
        <v>120390</v>
      </c>
      <c r="U84" s="46">
        <v>120391</v>
      </c>
      <c r="V84" s="46">
        <v>120392</v>
      </c>
      <c r="W84" s="46">
        <v>120393</v>
      </c>
      <c r="X84" s="46">
        <v>120394</v>
      </c>
      <c r="Y84" s="46">
        <v>120395</v>
      </c>
      <c r="Z84" s="46">
        <v>120396</v>
      </c>
      <c r="AA84" s="46">
        <v>120397</v>
      </c>
      <c r="AB84" s="46">
        <v>120398</v>
      </c>
      <c r="AC84" s="46">
        <v>120399</v>
      </c>
    </row>
    <row r="85" spans="1:29" ht="32.1" customHeight="1">
      <c r="A85" s="118"/>
      <c r="B85" s="96" t="str">
        <f>VLOOKUP("Stk",Sprachindex!A:Z,Info!$O$6,FALSE)</f>
        <v>STK</v>
      </c>
      <c r="C85" s="98"/>
      <c r="D85" s="95">
        <f t="shared" si="5"/>
        <v>0</v>
      </c>
      <c r="E85" s="250" t="str">
        <f>VLOOKUP("Gebirgsschneefangstütze, inkl. Befestigungsmaterial",Sprachindex!A:Z,Info!$O$6,FALSE)</f>
        <v>Gebirgsschneefangstütze, inkl. Befestigungsmaterial</v>
      </c>
      <c r="F85" s="251"/>
      <c r="G85" s="251"/>
      <c r="H85" s="251"/>
      <c r="I85" s="251"/>
      <c r="J85" s="251"/>
      <c r="K85" s="257"/>
      <c r="L85" s="96" t="str">
        <f t="shared" si="2"/>
        <v/>
      </c>
      <c r="M85" s="102"/>
      <c r="O85" s="1"/>
      <c r="P85" s="191" t="str">
        <f>ROUNDUP($A85/2,0)*2 &amp;" " &amp; Formeln!$A$111</f>
        <v>0 STK</v>
      </c>
      <c r="Q85" s="191" t="str">
        <f>ROUNDUP($A85,0) &amp;" " &amp; Formeln!$A$111</f>
        <v>0 STK</v>
      </c>
      <c r="T85" s="46">
        <v>120150</v>
      </c>
      <c r="U85" s="46">
        <v>120151</v>
      </c>
      <c r="V85" s="46">
        <v>120152</v>
      </c>
      <c r="W85" s="46">
        <v>120153</v>
      </c>
      <c r="X85" s="46">
        <v>120154</v>
      </c>
      <c r="Y85" s="46">
        <v>120155</v>
      </c>
      <c r="Z85" s="46">
        <v>120156</v>
      </c>
      <c r="AA85" s="46">
        <v>120157</v>
      </c>
      <c r="AB85" s="46">
        <v>120158</v>
      </c>
      <c r="AC85" s="46">
        <v>120159</v>
      </c>
    </row>
    <row r="86" spans="1:29" ht="32.1" customHeight="1">
      <c r="A86" s="118"/>
      <c r="B86" s="96" t="str">
        <f>VLOOKUP("Stk",Sprachindex!A:Z,Info!$O$6,FALSE)</f>
        <v>STK</v>
      </c>
      <c r="C86" s="98"/>
      <c r="D86" s="95">
        <f t="shared" si="5"/>
        <v>0</v>
      </c>
      <c r="E86" s="250" t="str">
        <f>VLOOKUP("Kaminhut, inkl. Kaminstreben, 700x700mm",Sprachindex!A:Z,Info!$O$6,FALSE)</f>
        <v>Kaminhut, inkl. Kaminstreben, 700x700mm</v>
      </c>
      <c r="F86" s="251"/>
      <c r="G86" s="251"/>
      <c r="H86" s="251"/>
      <c r="I86" s="251"/>
      <c r="J86" s="251"/>
      <c r="K86" s="257"/>
      <c r="L86" s="96" t="str">
        <f t="shared" si="2"/>
        <v/>
      </c>
      <c r="M86" s="102"/>
      <c r="O86" s="1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110420</v>
      </c>
      <c r="U86" s="46">
        <v>110421</v>
      </c>
      <c r="V86" s="46">
        <v>110422</v>
      </c>
      <c r="W86" s="46">
        <v>110423</v>
      </c>
      <c r="X86" s="46">
        <v>110424</v>
      </c>
      <c r="Y86" s="46">
        <v>110425</v>
      </c>
      <c r="Z86" s="46">
        <v>110426</v>
      </c>
      <c r="AA86" s="46">
        <v>110427</v>
      </c>
      <c r="AB86" s="46">
        <v>110428</v>
      </c>
      <c r="AC86" s="46">
        <v>110429</v>
      </c>
    </row>
    <row r="87" spans="1:29" ht="32.1" customHeight="1">
      <c r="A87" s="118"/>
      <c r="B87" s="96" t="str">
        <f>VLOOKUP("Stk",Sprachindex!A:Z,Info!$O$6,FALSE)</f>
        <v>STK</v>
      </c>
      <c r="C87" s="98"/>
      <c r="D87" s="95">
        <f t="shared" si="5"/>
        <v>0</v>
      </c>
      <c r="E87" s="250" t="str">
        <f>VLOOKUP("Kaminhut, inkl. Kaminstreben, 800x800mm",Sprachindex!A:Z,Info!$O$6,FALSE)</f>
        <v>Kaminhut, inkl. Kaminstreben, 800x800mm</v>
      </c>
      <c r="F87" s="251"/>
      <c r="G87" s="251"/>
      <c r="H87" s="251"/>
      <c r="I87" s="251"/>
      <c r="J87" s="251"/>
      <c r="K87" s="257"/>
      <c r="L87" s="96" t="str">
        <f t="shared" si="2"/>
        <v/>
      </c>
      <c r="M87" s="102"/>
      <c r="O87" s="1"/>
      <c r="P87" s="191" t="str">
        <f>ROUNDUP($A87,0) &amp;" " &amp; Formeln!$A$111</f>
        <v>0 STK</v>
      </c>
      <c r="Q87" s="191" t="str">
        <f>ROUNDUP($A87,0) &amp;" " &amp; Formeln!$A$111</f>
        <v>0 STK</v>
      </c>
      <c r="T87" s="46">
        <v>110430</v>
      </c>
      <c r="U87" s="46">
        <v>110431</v>
      </c>
      <c r="V87" s="46">
        <v>110432</v>
      </c>
      <c r="W87" s="46">
        <v>110433</v>
      </c>
      <c r="X87" s="46">
        <v>110434</v>
      </c>
      <c r="Y87" s="46">
        <v>110435</v>
      </c>
      <c r="Z87" s="46">
        <v>110436</v>
      </c>
      <c r="AA87" s="46">
        <v>110437</v>
      </c>
      <c r="AB87" s="46">
        <v>110438</v>
      </c>
      <c r="AC87" s="46">
        <v>110439</v>
      </c>
    </row>
    <row r="88" spans="1:29" ht="32.1" customHeight="1">
      <c r="A88" s="118"/>
      <c r="B88" s="96" t="str">
        <f>VLOOKUP("Stk",Sprachindex!A:Z,Info!$O$6,FALSE)</f>
        <v>STK</v>
      </c>
      <c r="C88" s="98"/>
      <c r="D88" s="95">
        <f t="shared" si="5"/>
        <v>0</v>
      </c>
      <c r="E88" s="250" t="str">
        <f>VLOOKUP("Kaminhut, inkl. Kaminstreben, 1000x700mm",Sprachindex!A:Z,Info!$O$6,FALSE)</f>
        <v>Kaminhut, inkl. Kaminstreben, 1000x700mm</v>
      </c>
      <c r="F88" s="251"/>
      <c r="G88" s="251"/>
      <c r="H88" s="251"/>
      <c r="I88" s="251"/>
      <c r="J88" s="251"/>
      <c r="K88" s="257"/>
      <c r="L88" s="96" t="str">
        <f t="shared" si="2"/>
        <v/>
      </c>
      <c r="M88" s="102"/>
      <c r="O88" s="1"/>
      <c r="P88" s="191" t="str">
        <f>ROUNDUP($A88,0) &amp;" " &amp; Formeln!$A$111</f>
        <v>0 STK</v>
      </c>
      <c r="Q88" s="191" t="str">
        <f>ROUNDUP($A88,0) &amp;" " &amp; Formeln!$A$111</f>
        <v>0 STK</v>
      </c>
      <c r="T88" s="46">
        <v>110440</v>
      </c>
      <c r="U88" s="46">
        <v>110441</v>
      </c>
      <c r="V88" s="46">
        <v>110442</v>
      </c>
      <c r="W88" s="46">
        <v>110443</v>
      </c>
      <c r="X88" s="46">
        <v>110444</v>
      </c>
      <c r="Y88" s="46">
        <v>110445</v>
      </c>
      <c r="Z88" s="46">
        <v>110446</v>
      </c>
      <c r="AA88" s="46">
        <v>110447</v>
      </c>
      <c r="AB88" s="46">
        <v>110448</v>
      </c>
      <c r="AC88" s="46">
        <v>110449</v>
      </c>
    </row>
    <row r="89" spans="1:29" ht="32.1" customHeight="1">
      <c r="A89" s="118"/>
      <c r="B89" s="96" t="str">
        <f>VLOOKUP("Stk",Sprachindex!A:Z,Info!$O$6,FALSE)</f>
        <v>STK</v>
      </c>
      <c r="C89" s="98"/>
      <c r="D89" s="95">
        <f t="shared" si="5"/>
        <v>0</v>
      </c>
      <c r="E89" s="250" t="str">
        <f>VLOOKUP("Kaminhut, inkl. Kaminstreben, 1100x800mm",Sprachindex!A:Z,Info!$O$6,FALSE)</f>
        <v>Kaminhut, inkl. Kaminstreben, 1100x800mm</v>
      </c>
      <c r="F89" s="251"/>
      <c r="G89" s="251"/>
      <c r="H89" s="251"/>
      <c r="I89" s="251"/>
      <c r="J89" s="251"/>
      <c r="K89" s="257"/>
      <c r="L89" s="96" t="str">
        <f t="shared" si="2"/>
        <v/>
      </c>
      <c r="M89" s="102"/>
      <c r="O89" s="1"/>
      <c r="P89" s="191" t="str">
        <f>ROUNDUP($A89,0) &amp;" " &amp; Formeln!$A$111</f>
        <v>0 STK</v>
      </c>
      <c r="Q89" s="191" t="str">
        <f>ROUNDUP($A89,0) &amp;" " &amp; Formeln!$A$111</f>
        <v>0 STK</v>
      </c>
      <c r="T89" s="46">
        <v>110450</v>
      </c>
      <c r="U89" s="46">
        <v>110451</v>
      </c>
      <c r="V89" s="46">
        <v>110452</v>
      </c>
      <c r="W89" s="46">
        <v>110453</v>
      </c>
      <c r="X89" s="46">
        <v>110454</v>
      </c>
      <c r="Y89" s="46">
        <v>110455</v>
      </c>
      <c r="Z89" s="46">
        <v>110456</v>
      </c>
      <c r="AA89" s="46">
        <v>110457</v>
      </c>
      <c r="AB89" s="46">
        <v>110458</v>
      </c>
      <c r="AC89" s="46">
        <v>110459</v>
      </c>
    </row>
    <row r="90" spans="1:29" ht="32.1" customHeight="1">
      <c r="A90" s="118"/>
      <c r="B90" s="96" t="str">
        <f>VLOOKUP("Stk",Sprachindex!A:Z,Info!$O$6,FALSE)</f>
        <v>STK</v>
      </c>
      <c r="C90" s="98"/>
      <c r="D90" s="95">
        <f t="shared" si="5"/>
        <v>0</v>
      </c>
      <c r="E90" s="250" t="str">
        <f>VLOOKUP("Kaminhut, inkl. Kaminstreben, 1500x800mm",Sprachindex!A:Z,Info!$O$6,FALSE)</f>
        <v>Kaminhut, inkl. Kaminstreben, 1500x800mm</v>
      </c>
      <c r="F90" s="251"/>
      <c r="G90" s="251"/>
      <c r="H90" s="251"/>
      <c r="I90" s="251"/>
      <c r="J90" s="251"/>
      <c r="K90" s="257"/>
      <c r="L90" s="96" t="str">
        <f t="shared" si="2"/>
        <v/>
      </c>
      <c r="M90" s="102"/>
      <c r="O90" s="1"/>
      <c r="P90" s="191" t="str">
        <f>ROUNDUP($A90,0) &amp;" " &amp; Formeln!$A$111</f>
        <v>0 STK</v>
      </c>
      <c r="Q90" s="191" t="str">
        <f>ROUNDUP($A90,0) &amp;" " &amp; Formeln!$A$111</f>
        <v>0 STK</v>
      </c>
      <c r="T90" s="46">
        <v>110460</v>
      </c>
      <c r="U90" s="46">
        <v>110461</v>
      </c>
      <c r="V90" s="46">
        <v>110462</v>
      </c>
      <c r="W90" s="46">
        <v>110463</v>
      </c>
      <c r="X90" s="46">
        <v>110464</v>
      </c>
      <c r="Y90" s="46">
        <v>110465</v>
      </c>
      <c r="Z90" s="46">
        <v>110466</v>
      </c>
      <c r="AA90" s="46">
        <v>110467</v>
      </c>
      <c r="AB90" s="46">
        <v>110468</v>
      </c>
      <c r="AC90" s="46">
        <v>110469</v>
      </c>
    </row>
    <row r="91" spans="1:29" ht="32.1" customHeight="1">
      <c r="A91" s="118"/>
      <c r="B91" s="96" t="str">
        <f>VLOOKUP("Stk",Sprachindex!A:Z,Info!$O$6,FALSE)</f>
        <v>STK</v>
      </c>
      <c r="C91" s="98"/>
      <c r="D91" s="95">
        <f t="shared" si="5"/>
        <v>0</v>
      </c>
      <c r="E91" s="250" t="str">
        <f>VLOOKUP("Kaminstreben, gebogen",Sprachindex!A:Z,Info!$O$6,FALSE)</f>
        <v>Kaminstreben, gebogen</v>
      </c>
      <c r="F91" s="251"/>
      <c r="G91" s="251"/>
      <c r="H91" s="251"/>
      <c r="I91" s="251"/>
      <c r="J91" s="251"/>
      <c r="K91" s="257"/>
      <c r="L91" s="96" t="str">
        <f t="shared" si="2"/>
        <v/>
      </c>
      <c r="M91" s="102"/>
      <c r="O91" s="1"/>
      <c r="P91" s="191" t="str">
        <f>ROUNDUP($A91/10,0)*10 &amp;" " &amp; Formeln!$A$111</f>
        <v>0 STK</v>
      </c>
      <c r="Q91" s="191" t="str">
        <f>ROUNDUP($A91,0) &amp;" " &amp; Formeln!$A$111</f>
        <v>0 STK</v>
      </c>
      <c r="T91" s="46">
        <v>110410</v>
      </c>
      <c r="U91" s="46">
        <v>110411</v>
      </c>
      <c r="V91" s="46">
        <v>110412</v>
      </c>
      <c r="W91" s="46">
        <v>110413</v>
      </c>
      <c r="X91" s="46">
        <v>110414</v>
      </c>
      <c r="Y91" s="46">
        <v>110415</v>
      </c>
      <c r="Z91" s="46">
        <v>110416</v>
      </c>
      <c r="AA91" s="46">
        <v>110417</v>
      </c>
      <c r="AB91" s="46">
        <v>110418</v>
      </c>
      <c r="AC91" s="46">
        <v>110419</v>
      </c>
    </row>
    <row r="92" spans="1:29" ht="32.1" customHeight="1">
      <c r="A92" s="118"/>
      <c r="B92" s="96" t="str">
        <f>VLOOKUP("lfm",Sprachindex!A:Z,Info!$O$6,FALSE)</f>
        <v>lfm</v>
      </c>
      <c r="C92" s="98"/>
      <c r="D92" s="95">
        <f t="shared" si="5"/>
        <v>0</v>
      </c>
      <c r="E92" s="250" t="str">
        <f>VLOOKUP("Kaminstreben, 7x35x3000mm",Sprachindex!A:Z,Info!$O$6,FALSE)</f>
        <v>Kaminstreben, 7x35x3000mm</v>
      </c>
      <c r="F92" s="251"/>
      <c r="G92" s="251"/>
      <c r="H92" s="251"/>
      <c r="I92" s="251"/>
      <c r="J92" s="251"/>
      <c r="K92" s="257"/>
      <c r="L92" s="96" t="str">
        <f t="shared" si="2"/>
        <v/>
      </c>
      <c r="M92" s="102"/>
      <c r="O92" s="1"/>
      <c r="P92" s="191" t="str">
        <f>ROUNDUP($A92/3,0)*3 &amp;" " &amp; Formeln!$A$112 &amp; "                " &amp; "(="&amp;ROUNDUP($A92/3,0) &amp; " " &amp;Formeln!$A$111 &amp; ")"</f>
        <v>0 lfm                (=0 STK)</v>
      </c>
      <c r="Q92" s="191" t="str">
        <f>ROUNDUP($A92/3,0)*3 &amp;" " &amp; Formeln!$A$112 &amp; "                " &amp; "(="&amp;ROUNDUP($A92/3,0) &amp; " " &amp;Formeln!$A$111 &amp; ")"</f>
        <v>0 lfm                (=0 STK)</v>
      </c>
      <c r="T92" s="46">
        <v>110400</v>
      </c>
      <c r="U92" s="46">
        <v>110401</v>
      </c>
      <c r="V92" s="46">
        <v>110402</v>
      </c>
      <c r="W92" s="46">
        <v>110403</v>
      </c>
      <c r="X92" s="46">
        <v>110404</v>
      </c>
      <c r="Y92" s="46">
        <v>110405</v>
      </c>
      <c r="Z92" s="46">
        <v>110406</v>
      </c>
      <c r="AA92" s="46">
        <v>110407</v>
      </c>
      <c r="AB92" s="46">
        <v>110408</v>
      </c>
      <c r="AC92" s="140" t="s">
        <v>50</v>
      </c>
    </row>
    <row r="93" spans="1:29" ht="32.1" customHeight="1">
      <c r="A93" s="118"/>
      <c r="B93" s="96" t="str">
        <f>VLOOKUP("Stk",Sprachindex!A:Z,Info!$O$6,FALSE)</f>
        <v>STK</v>
      </c>
      <c r="C93" s="98"/>
      <c r="D93" s="95">
        <f t="shared" si="5"/>
        <v>0</v>
      </c>
      <c r="E93" s="250" t="str">
        <f>VLOOKUP("Hauerbuckel ",Sprachindex!A:Z,Info!$O$6,FALSE)</f>
        <v xml:space="preserve">Hauerbuckel </v>
      </c>
      <c r="F93" s="251"/>
      <c r="G93" s="251"/>
      <c r="H93" s="251"/>
      <c r="I93" s="251"/>
      <c r="J93" s="251"/>
      <c r="K93" s="257"/>
      <c r="L93" s="96" t="str">
        <f t="shared" si="2"/>
        <v/>
      </c>
      <c r="M93" s="102"/>
      <c r="O93" s="1"/>
      <c r="P93" s="191" t="str">
        <f>ROUNDUP($A93,0) &amp;" " &amp; Formeln!$A$111</f>
        <v>0 STK</v>
      </c>
      <c r="Q93" s="191" t="str">
        <f>ROUNDUP($A93,0) &amp;" " &amp; Formeln!$A$111</f>
        <v>0 STK</v>
      </c>
      <c r="T93" s="46">
        <v>112401</v>
      </c>
      <c r="U93" s="46">
        <v>112402</v>
      </c>
      <c r="V93" s="46">
        <v>112403</v>
      </c>
      <c r="W93" s="46">
        <v>112404</v>
      </c>
      <c r="X93" s="46">
        <v>112405</v>
      </c>
      <c r="Y93" s="46">
        <v>112406</v>
      </c>
      <c r="Z93" s="46">
        <v>112407</v>
      </c>
      <c r="AA93" s="46">
        <v>112408</v>
      </c>
      <c r="AB93" s="46">
        <v>112409</v>
      </c>
      <c r="AC93" s="46">
        <v>112410</v>
      </c>
    </row>
    <row r="94" spans="1:29" ht="32.1" customHeight="1">
      <c r="A94" s="118"/>
      <c r="B94" s="96" t="str">
        <f>VLOOKUP("Stk",Sprachindex!A:Z,Info!$O$6,FALSE)</f>
        <v>STK</v>
      </c>
      <c r="C94" s="98"/>
      <c r="D94" s="95">
        <v>340404</v>
      </c>
      <c r="E94" s="250" t="str">
        <f>VLOOKUP("Dachleitungshalter für Blitzschutzdraht",Sprachindex!A:Z,Info!$O$6,FALSE)</f>
        <v>Dachleitungshalter für Blitzschutzdraht</v>
      </c>
      <c r="F94" s="251"/>
      <c r="G94" s="251"/>
      <c r="H94" s="251"/>
      <c r="I94" s="251"/>
      <c r="J94" s="251"/>
      <c r="K94" s="257"/>
      <c r="L94" s="96" t="str">
        <f t="shared" si="2"/>
        <v/>
      </c>
      <c r="M94" s="102"/>
      <c r="O94" s="1"/>
      <c r="P94" s="191" t="str">
        <f>ROUNDUP($A94/50,0)*50 &amp;" " &amp; Formeln!$A$111</f>
        <v>0 STK</v>
      </c>
      <c r="Q94" s="191" t="str">
        <f>ROUNDUP($A94,0) &amp;" " &amp; Formeln!$A$111</f>
        <v>0 STK</v>
      </c>
      <c r="T94" s="159"/>
      <c r="U94" s="159"/>
      <c r="V94" s="159"/>
      <c r="W94" s="159"/>
      <c r="X94" s="159"/>
      <c r="Y94" s="159"/>
      <c r="Z94" s="159"/>
      <c r="AA94" s="159"/>
      <c r="AB94" s="159"/>
      <c r="AC94" s="159"/>
    </row>
    <row r="95" spans="1:29" ht="32.1" customHeight="1">
      <c r="A95" s="118"/>
      <c r="B95" s="96" t="str">
        <f>VLOOKUP("Stk",Sprachindex!A:Z,Info!$O$6,FALSE)</f>
        <v>STK</v>
      </c>
      <c r="C95" s="95"/>
      <c r="D95" s="95">
        <v>420501</v>
      </c>
      <c r="E95" s="258" t="str">
        <f>VLOOKUP("Spezialkleber",Sprachindex!A:Z,Info!$O$6,FALSE)</f>
        <v>Spezialkleber</v>
      </c>
      <c r="F95" s="259"/>
      <c r="G95" s="259"/>
      <c r="H95" s="259"/>
      <c r="I95" s="259"/>
      <c r="J95" s="259"/>
      <c r="K95" s="260"/>
      <c r="L95" s="96" t="str">
        <f t="shared" si="2"/>
        <v/>
      </c>
      <c r="M95" s="102"/>
      <c r="O95" s="1"/>
      <c r="P95" s="191" t="str">
        <f>ROUNDUP($A95,0) &amp;" " &amp; Formeln!$A$111</f>
        <v>0 STK</v>
      </c>
      <c r="Q95" s="191" t="str">
        <f>ROUNDUP($A95,0) &amp;" " &amp; Formeln!$A$111</f>
        <v>0 STK</v>
      </c>
    </row>
    <row r="96" spans="1:29" ht="32.1" customHeight="1">
      <c r="A96" s="118"/>
      <c r="B96" s="96" t="str">
        <f>VLOOKUP("Set",Sprachindex!A:Z,Info!$O$6,FALSE)</f>
        <v>Set</v>
      </c>
      <c r="C96" s="98"/>
      <c r="D96" s="95">
        <v>420500</v>
      </c>
      <c r="E96" s="250" t="str">
        <f>VLOOKUP("Spezialkleber-Set",Sprachindex!A:Z,Info!$O$6,FALSE)</f>
        <v>Spezialkleber-Set</v>
      </c>
      <c r="F96" s="251"/>
      <c r="G96" s="251"/>
      <c r="H96" s="251"/>
      <c r="I96" s="251"/>
      <c r="J96" s="251"/>
      <c r="K96" s="257"/>
      <c r="L96" s="96" t="str">
        <f t="shared" si="2"/>
        <v/>
      </c>
      <c r="M96" s="102"/>
      <c r="O96" s="1"/>
      <c r="P96" s="191" t="str">
        <f>ROUNDUP($A96,0) &amp;" " &amp; IF($A96&lt;=1,Formeln!$A$119,IF($A96&gt;1,Formeln!$A$120,""))</f>
        <v>0 Set</v>
      </c>
      <c r="Q96" s="191" t="str">
        <f>ROUNDUP($A96,0) &amp;" " &amp; IF($A96&lt;=1,Formeln!$A$119,IF($A96&gt;1,Formeln!$A$120,""))</f>
        <v>0 Set</v>
      </c>
    </row>
    <row r="97" spans="1:39" ht="32.1" customHeight="1">
      <c r="A97" s="118"/>
      <c r="B97" s="96" t="str">
        <f>VLOOKUP("Stk",Sprachindex!A:Z,Info!$O$6,FALSE)</f>
        <v>STK</v>
      </c>
      <c r="C97" s="98"/>
      <c r="D97" s="95">
        <v>340415</v>
      </c>
      <c r="E97" s="250" t="str">
        <f>VLOOKUP("SDH Schraubensatz f.Aufsparrendäm.",Sprachindex!A:Z,Info!$O$6,FALSE)</f>
        <v>SDH Schraubensatz f.Aufsparrendäm.</v>
      </c>
      <c r="F97" s="251"/>
      <c r="G97" s="251"/>
      <c r="H97" s="251"/>
      <c r="I97" s="251"/>
      <c r="J97" s="251"/>
      <c r="K97" s="257"/>
      <c r="L97" s="96" t="str">
        <f>IF($A97=0,"",IF($N$11=1,P97,Q97))</f>
        <v/>
      </c>
      <c r="M97" s="102"/>
      <c r="O97" s="1"/>
      <c r="P97" s="191" t="str">
        <f>ROUNDUP($A97,0) &amp;" " &amp; Formeln!$A$111</f>
        <v>0 STK</v>
      </c>
      <c r="Q97" s="191" t="str">
        <f>ROUNDUP($A97,0) &amp;" " &amp; Formeln!$A$111</f>
        <v>0 STK</v>
      </c>
    </row>
    <row r="98" spans="1:39" ht="32.1" customHeight="1">
      <c r="A98" s="118"/>
      <c r="B98" s="96" t="str">
        <f>VLOOKUP("Stk",Sprachindex!A:Z,Info!$O$6,FALSE)</f>
        <v>STK</v>
      </c>
      <c r="C98" s="98"/>
      <c r="D98" s="95">
        <v>340416</v>
      </c>
      <c r="E98" s="250" t="str">
        <f>VLOOKUP("SDH Bohrsatz,für Aufsparrendämmung",Sprachindex!A:Z,Info!$O$6,FALSE)</f>
        <v>SDH Bohrsatz,für Aufsparrendämmung</v>
      </c>
      <c r="F98" s="251"/>
      <c r="G98" s="251"/>
      <c r="H98" s="251"/>
      <c r="I98" s="251"/>
      <c r="J98" s="251"/>
      <c r="K98" s="257"/>
      <c r="L98" s="96" t="str">
        <f>IF($A98=0,"",IF($N$11=1,P98,Q98))</f>
        <v/>
      </c>
      <c r="M98" s="102"/>
      <c r="O98" s="1"/>
      <c r="P98" s="191" t="str">
        <f>ROUNDUP($A98,0) &amp;" " &amp; Formeln!$A$111</f>
        <v>0 STK</v>
      </c>
      <c r="Q98" s="191" t="str">
        <f>ROUNDUP($A98,0) &amp;" " &amp; Formeln!$A$111</f>
        <v>0 STK</v>
      </c>
    </row>
    <row r="99" spans="1:39" ht="32.1" customHeight="1">
      <c r="A99" s="118"/>
      <c r="B99" s="96" t="str">
        <f>VLOOKUP("kg",Sprachindex!A:Z,Info!$O$6,FALSE)</f>
        <v>kg</v>
      </c>
      <c r="C99" s="98"/>
      <c r="D99" s="98">
        <f>IF(I99=Formeln!A104,X99,IF(I99=Formeln!A105,T99,IF(I99=Formeln!A106,U99,IF(I99=Formeln!A107,V99,IF(I99=Formeln!A108,W99,0)))))</f>
        <v>0</v>
      </c>
      <c r="E99" s="265" t="str">
        <f>VLOOKUP("Lochblech, 0,70x1000mm
in Rollen zu 24kg ",Sprachindex!A:Z,Info!$O$6,FALSE)</f>
        <v xml:space="preserve">Lochblech, 0,70x1000mm
in Rollen zu 24kg </v>
      </c>
      <c r="F99" s="266"/>
      <c r="G99" s="266"/>
      <c r="H99" s="266"/>
      <c r="I99" s="252"/>
      <c r="J99" s="267"/>
      <c r="K99" s="267"/>
      <c r="L99" s="183" t="str">
        <f>IF($A99=0,"",IF($I99=Formeln!$A$103," ",IF($N$11=1,P99,Q99)))</f>
        <v/>
      </c>
      <c r="M99" s="102"/>
      <c r="O99" s="1"/>
      <c r="P99" s="191" t="str">
        <f>ROUNDUP($A99/24,0)*24 &amp; " " &amp; Formeln!$A$114 &amp; "        " &amp; "(="&amp;ROUNDUP($A99/24,0) &amp; " " &amp;R99&amp; ")"</f>
        <v>0 kg        (=0 Rolle)</v>
      </c>
      <c r="Q99" s="191" t="str">
        <f>ROUNDUP($A99,0) &amp; " " &amp; Formeln!$A$114 &amp; "        " &amp; "(="&amp;ROUNDUP($A99/24,1) &amp; " " &amp;R99&amp; ")"</f>
        <v>0 kg        (=0 Rolle)</v>
      </c>
      <c r="R99" s="8" t="str">
        <f>IF(A99&gt;24, Formeln!A116, Formeln!A115)</f>
        <v>Rolle</v>
      </c>
      <c r="T99" s="46">
        <v>507202</v>
      </c>
      <c r="U99" s="46">
        <v>507203</v>
      </c>
      <c r="V99" s="46">
        <v>507204</v>
      </c>
      <c r="W99" s="46">
        <v>507205</v>
      </c>
      <c r="X99" s="46">
        <v>507206</v>
      </c>
    </row>
    <row r="100" spans="1:39" ht="50.1" customHeight="1">
      <c r="A100" s="118"/>
      <c r="B100" s="96" t="str">
        <f>VLOOKUP("kg",Sprachindex!A:Z,Info!$O$6,FALSE)</f>
        <v>kg</v>
      </c>
      <c r="C100" s="98"/>
      <c r="D100" s="98">
        <f>IF(AND(I100=Formeln!A21,K100=Formeln!A126),T100,IF(AND(I100=Formeln!A21,K100=Formeln!A129),U100,IF(AND(I100=Formeln!A21,K100=Formeln!A131),V100,IF(AND(I100=Formeln!A21,K100=Formeln!A129),AE100,IF(AND(I100=Formeln!A21,K100=Formeln!A125),W100,IF(AND(I100=Formeln!A21,K100=Formeln!A134),X100,IF(AND(I100=Formeln!A21,K100=Formeln!A128),Y100,IF(AND(I100=Formeln!A21,K100=Formeln!A132),Z100,IF(AND(I100=Formeln!A21,K100=Formeln!A130),AA100,IF(AND(I100=Formeln!A21,K100=Formeln!A127),AB100,IF(AND(I100=Formeln!A21,K100=Formeln!A133),AC100,IF(AND(I100=Formeln!A22,K100=Formeln!A126),AD100,IF(AND(I100=Formeln!A22,K100=Formeln!A129),AE100,IF(AND(I100=Formeln!A22,K100=Formeln!A131),AF100,IF(AND(I100=Formeln!A22,K100=Formeln!A129),AE100,IF(AND(I100=Formeln!A22,K100=Formeln!A125),AG100,IF(AND(I100=Formeln!A22,K100=Formeln!A134),AH100,IF(AND(I100=Formeln!A22,K100=Formeln!A128),AI100,IF(AND(I100=Formeln!A22,K100=Formeln!A132),AJ100,IF(AND(I100=Formeln!A22,K100=Formeln!A130),AK100,IF(AND(I100=Formeln!A22,K100=Formeln!A127),AL100,IF(AND(I100=Formeln!A22,K100=Formeln!A133),AM100,0))))))))))))))))))))))</f>
        <v>0</v>
      </c>
      <c r="E100" s="250" t="str">
        <f>VLOOKUP("PREFALZ 0.7x1000 stucco, in Rollen zu 60kg",Sprachindex!A:Z,Info!$O$6,FALSE)</f>
        <v>PREFALZ 0.7x1000 stucco, in Rollen zu 60kg</v>
      </c>
      <c r="F100" s="251"/>
      <c r="G100" s="251"/>
      <c r="H100" s="103" t="str">
        <f>VLOOKUP("Oberfläche:",Sprachindex!A:Z,Info!$O$6,FALSE)</f>
        <v>Oberfläche:</v>
      </c>
      <c r="I100" s="104"/>
      <c r="J100" s="101" t="str">
        <f>VLOOKUP("Farbe:",Sprachindex!A:Z,Info!$O$6,FALSE)</f>
        <v>Farbe:</v>
      </c>
      <c r="K100" s="104"/>
      <c r="L100" s="183" t="str">
        <f>IF($A100=0,"",IF(OR($I100=Formeln!$A$20,$K100=Formeln!$A$124)," ",IF($N$11=1,P100,Q100)))</f>
        <v/>
      </c>
      <c r="M100" s="102"/>
      <c r="O100" s="1"/>
      <c r="P100" s="208" t="str">
        <f>ROUNDUP($A100/60,0)*60 &amp; " " &amp; Formeln!$A$114 &amp; "        " &amp; "(="&amp;ROUNDUP($A100/60,0) &amp; " " &amp;R100&amp; ")"</f>
        <v>0 kg        (=0 Rolle)</v>
      </c>
      <c r="Q100" s="208" t="str">
        <f>ROUNDUP($A100,0) &amp; " " &amp; Formeln!$A$114 &amp; "        " &amp; "(="&amp;ROUNDUP($A100/60,1) &amp; " " &amp;R100&amp; ")"</f>
        <v>0 kg        (=0 Rolle)</v>
      </c>
      <c r="R100" s="8" t="str">
        <f>IF(A100&gt;60, Formeln!A116, Formeln!A115)</f>
        <v>Rolle</v>
      </c>
      <c r="T100" s="140" t="s">
        <v>51</v>
      </c>
      <c r="U100" s="140" t="s">
        <v>52</v>
      </c>
      <c r="V100" s="140" t="s">
        <v>53</v>
      </c>
      <c r="W100" s="140" t="s">
        <v>54</v>
      </c>
      <c r="X100" s="140" t="s">
        <v>55</v>
      </c>
      <c r="Y100" s="140" t="s">
        <v>56</v>
      </c>
      <c r="Z100" s="140" t="s">
        <v>57</v>
      </c>
      <c r="AA100" s="140" t="s">
        <v>58</v>
      </c>
      <c r="AB100" s="140" t="s">
        <v>59</v>
      </c>
      <c r="AC100" s="140" t="s">
        <v>60</v>
      </c>
      <c r="AD100" s="140" t="s">
        <v>61</v>
      </c>
      <c r="AE100" s="140" t="s">
        <v>62</v>
      </c>
      <c r="AF100" s="140" t="s">
        <v>63</v>
      </c>
      <c r="AG100" s="140" t="s">
        <v>64</v>
      </c>
      <c r="AH100" s="140" t="s">
        <v>65</v>
      </c>
      <c r="AI100" s="140" t="s">
        <v>66</v>
      </c>
      <c r="AJ100" s="140" t="s">
        <v>67</v>
      </c>
      <c r="AK100" s="140" t="s">
        <v>68</v>
      </c>
      <c r="AL100" s="140" t="s">
        <v>69</v>
      </c>
      <c r="AM100" s="140" t="s">
        <v>70</v>
      </c>
    </row>
    <row r="101" spans="1:39" ht="32.1" customHeight="1">
      <c r="A101" s="195"/>
      <c r="B101" s="196"/>
      <c r="C101" s="196"/>
      <c r="D101" s="196"/>
      <c r="E101" s="268"/>
      <c r="F101" s="269"/>
      <c r="G101" s="269"/>
      <c r="H101" s="269"/>
      <c r="I101" s="269"/>
      <c r="J101" s="269"/>
      <c r="K101" s="270"/>
      <c r="L101" s="196"/>
      <c r="M101" s="197"/>
      <c r="O101" s="1"/>
      <c r="P101" s="8"/>
      <c r="Q101" s="8"/>
    </row>
    <row r="102" spans="1:39" ht="32.1" customHeight="1">
      <c r="A102" s="195"/>
      <c r="B102" s="196"/>
      <c r="C102" s="196"/>
      <c r="D102" s="196"/>
      <c r="E102" s="268"/>
      <c r="F102" s="269"/>
      <c r="G102" s="269"/>
      <c r="H102" s="269"/>
      <c r="I102" s="269"/>
      <c r="J102" s="269"/>
      <c r="K102" s="270"/>
      <c r="L102" s="196"/>
      <c r="M102" s="197"/>
      <c r="O102" s="1"/>
      <c r="P102" s="8"/>
      <c r="Q102" s="8"/>
    </row>
    <row r="103" spans="1:39" ht="32.1" customHeight="1" thickBot="1">
      <c r="A103" s="198"/>
      <c r="B103" s="199"/>
      <c r="C103" s="199"/>
      <c r="D103" s="199"/>
      <c r="E103" s="271"/>
      <c r="F103" s="272"/>
      <c r="G103" s="272"/>
      <c r="H103" s="272"/>
      <c r="I103" s="272"/>
      <c r="J103" s="272"/>
      <c r="K103" s="273"/>
      <c r="L103" s="199"/>
      <c r="M103" s="200"/>
      <c r="O103" s="1"/>
      <c r="P103" s="8"/>
      <c r="Q103" s="8"/>
    </row>
    <row r="104" spans="1:39" ht="15" customHeight="1">
      <c r="A104" s="86"/>
      <c r="B104" s="86"/>
      <c r="C104" s="8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</row>
    <row r="105" spans="1:39" ht="17.399999999999999">
      <c r="A105" s="86"/>
      <c r="B105" s="86"/>
      <c r="C105" s="108" t="str">
        <f>VLOOKUP("Zusatzvermerk:",Sprachindex!A:Z,Info!$O$6,FALSE)</f>
        <v>Zusatzvermerk:</v>
      </c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</row>
    <row r="106" spans="1:39" ht="17.399999999999999">
      <c r="A106" s="86"/>
      <c r="B106" s="86"/>
      <c r="C106" s="86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</row>
    <row r="107" spans="1:39" ht="17.399999999999999">
      <c r="A107" s="86"/>
      <c r="B107" s="86"/>
      <c r="C107" s="86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</row>
    <row r="108" spans="1:39" ht="17.399999999999999">
      <c r="A108" s="86"/>
      <c r="B108" s="86"/>
      <c r="C108" s="86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</row>
    <row r="109" spans="1:39" ht="17.399999999999999">
      <c r="A109" s="86"/>
      <c r="B109" s="86"/>
      <c r="C109" s="86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</row>
    <row r="110" spans="1:39" ht="17.399999999999999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</row>
    <row r="111" spans="1:39" ht="17.399999999999999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</row>
    <row r="112" spans="1:39" ht="17.399999999999999">
      <c r="A112" s="109" t="str">
        <f>VLOOKUP("Anwendungstechnik",Sprachindex!A:Z,Info!$O$6,FALSE)</f>
        <v>Anwendungstechnik</v>
      </c>
      <c r="B112" s="110"/>
      <c r="C112" s="110"/>
      <c r="D112" s="264"/>
      <c r="E112" s="264"/>
      <c r="F112" s="264"/>
      <c r="G112" s="264"/>
      <c r="H112" s="264"/>
      <c r="I112" s="264"/>
      <c r="J112" s="264"/>
      <c r="K112" s="111" t="str">
        <f>VLOOKUP("Stand:",Sprachindex!A:Z,Info!$O$6,FALSE)</f>
        <v>Stand:</v>
      </c>
      <c r="L112" s="277">
        <v>44546</v>
      </c>
      <c r="M112" s="278"/>
    </row>
    <row r="113" ht="13.8"/>
    <row r="114" ht="13.8" hidden="1"/>
    <row r="115" ht="13.8" hidden="1"/>
    <row r="116" ht="13.8" hidden="1"/>
    <row r="117" ht="13.8" hidden="1"/>
    <row r="118" ht="13.8" hidden="1"/>
    <row r="119" ht="13.8" hidden="1"/>
    <row r="120" ht="13.8" hidden="1"/>
    <row r="121" ht="13.8" hidden="1"/>
    <row r="122" ht="14.25" hidden="1" customHeight="1"/>
    <row r="123" ht="14.25" hidden="1" customHeight="1"/>
    <row r="124" ht="14.25" hidden="1" customHeight="1"/>
  </sheetData>
  <sheetProtection password="8D71" sheet="1" objects="1" scenarios="1" selectLockedCells="1" autoFilter="0"/>
  <protectedRanges>
    <protectedRange password="DEBF" sqref="R99:R100" name="darf vom Benutzer nicht verändert werden_1_12"/>
    <protectedRange password="DEBF" sqref="P101:Q103" name="darf vom Benutzer nicht verändert werden_1_5_10"/>
    <protectedRange password="DEBF" sqref="P35:Q35" name="darf vom Benutzer nicht verändert werden_1_5_2"/>
    <protectedRange password="DEBF" sqref="Q36" name="darf vom Benutzer nicht verändert werden_1_1"/>
    <protectedRange password="DEBF" sqref="P36" name="darf vom Benutzer nicht verändert werden_1_4_1"/>
    <protectedRange password="DEBF" sqref="P38:Q38" name="darf vom Benutzer nicht verändert werden_1_5_6"/>
    <protectedRange password="DEBF" sqref="Q37" name="darf vom Benutzer nicht verändert werden_1_2_3"/>
    <protectedRange password="DEBF" sqref="P37" name="darf vom Benutzer nicht verändert werden_1_5_2_5_2"/>
    <protectedRange password="DEBF" sqref="Q39" name="darf vom Benutzer nicht verändert werden_1_2_6"/>
    <protectedRange password="DEBF" sqref="P39" name="darf vom Benutzer nicht verändert werden_1_5_3"/>
    <protectedRange password="DEBF" sqref="P40:Q40" name="darf vom Benutzer nicht verändert werden_1_5_12"/>
    <protectedRange password="DEBF" sqref="P41:Q50" name="darf vom Benutzer nicht verändert werden_1_5_14"/>
    <protectedRange password="DEBF" sqref="P51:Q51" name="darf vom Benutzer nicht verändert werden_1_5_15"/>
    <protectedRange password="DEBF" sqref="P52:Q54" name="darf vom Benutzer nicht verändert werden_1_5_17"/>
    <protectedRange password="DEBF" sqref="P55:Q71" name="darf vom Benutzer nicht verändert werden_1_5_18"/>
    <protectedRange password="DEBF" sqref="P72:Q95" name="darf vom Benutzer nicht verändert werden_1_5_19"/>
    <protectedRange password="DEBF" sqref="P97:Q100" name="darf vom Benutzer nicht verändert werden_1_5_20"/>
    <protectedRange password="DEBF" sqref="P34:Q34" name="darf vom Benutzer nicht verändert werden_1_2_8"/>
    <protectedRange password="DEBF" sqref="P31" name="darf vom Benutzer nicht verändert werden_1_5_2_2_2_1_1"/>
    <protectedRange password="DEBF" sqref="P32:Q33" name="darf vom Benutzer nicht verändert werden_1_5_2_10_1"/>
    <protectedRange password="DEBF" sqref="P96:Q96" name="darf vom Benutzer nicht verändert werden_1_5"/>
  </protectedRanges>
  <autoFilter ref="A29:A103" xr:uid="{00000000-0009-0000-0000-000006000000}"/>
  <mergeCells count="112">
    <mergeCell ref="P29:Q29"/>
    <mergeCell ref="E84:K84"/>
    <mergeCell ref="E76:K76"/>
    <mergeCell ref="E77:K77"/>
    <mergeCell ref="E78:K78"/>
    <mergeCell ref="E79:K79"/>
    <mergeCell ref="E80:K80"/>
    <mergeCell ref="E81:K81"/>
    <mergeCell ref="E82:K82"/>
    <mergeCell ref="E83:K83"/>
    <mergeCell ref="E57:H57"/>
    <mergeCell ref="J57:K57"/>
    <mergeCell ref="E75:K75"/>
    <mergeCell ref="E59:K59"/>
    <mergeCell ref="E60:K60"/>
    <mergeCell ref="E62:K62"/>
    <mergeCell ref="E63:K63"/>
    <mergeCell ref="E64:K64"/>
    <mergeCell ref="E65:K65"/>
    <mergeCell ref="E68:K68"/>
    <mergeCell ref="E70:K70"/>
    <mergeCell ref="E71:K71"/>
    <mergeCell ref="E72:K72"/>
    <mergeCell ref="E74:K74"/>
    <mergeCell ref="D112:J112"/>
    <mergeCell ref="E100:G100"/>
    <mergeCell ref="E101:K101"/>
    <mergeCell ref="E102:K102"/>
    <mergeCell ref="E103:K103"/>
    <mergeCell ref="D108:M109"/>
    <mergeCell ref="D106:M107"/>
    <mergeCell ref="D104:M105"/>
    <mergeCell ref="L112:M112"/>
    <mergeCell ref="E99:H99"/>
    <mergeCell ref="I99:K99"/>
    <mergeCell ref="E85:K85"/>
    <mergeCell ref="E86:K86"/>
    <mergeCell ref="E87:K87"/>
    <mergeCell ref="E88:K88"/>
    <mergeCell ref="E89:K89"/>
    <mergeCell ref="E90:K90"/>
    <mergeCell ref="E91:K91"/>
    <mergeCell ref="E92:K92"/>
    <mergeCell ref="E93:K93"/>
    <mergeCell ref="E95:K95"/>
    <mergeCell ref="E96:K96"/>
    <mergeCell ref="E98:K98"/>
    <mergeCell ref="E97:K97"/>
    <mergeCell ref="E94:K94"/>
    <mergeCell ref="E58:H58"/>
    <mergeCell ref="J58:K58"/>
    <mergeCell ref="E73:K73"/>
    <mergeCell ref="E61:K61"/>
    <mergeCell ref="E66:K66"/>
    <mergeCell ref="E67:K67"/>
    <mergeCell ref="E69:K69"/>
    <mergeCell ref="E56:H56"/>
    <mergeCell ref="J56:K56"/>
    <mergeCell ref="E55:K55"/>
    <mergeCell ref="E39:G39"/>
    <mergeCell ref="H39:K39"/>
    <mergeCell ref="E40:K40"/>
    <mergeCell ref="E41:K41"/>
    <mergeCell ref="E44:K44"/>
    <mergeCell ref="E45:K45"/>
    <mergeCell ref="E46:K46"/>
    <mergeCell ref="E47:K47"/>
    <mergeCell ref="E43:K43"/>
    <mergeCell ref="E48:K48"/>
    <mergeCell ref="E42:K42"/>
    <mergeCell ref="E53:K53"/>
    <mergeCell ref="E54:K54"/>
    <mergeCell ref="K5:M5"/>
    <mergeCell ref="K4:M4"/>
    <mergeCell ref="K6:M6"/>
    <mergeCell ref="E30:K30"/>
    <mergeCell ref="E31:K31"/>
    <mergeCell ref="E32:K32"/>
    <mergeCell ref="C11:E11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B24:B27"/>
    <mergeCell ref="K7:M7"/>
    <mergeCell ref="E35:K35"/>
    <mergeCell ref="E52:K52"/>
    <mergeCell ref="E36:G36"/>
    <mergeCell ref="H36:K36"/>
    <mergeCell ref="E37:G37"/>
    <mergeCell ref="H37:K37"/>
    <mergeCell ref="E38:K38"/>
    <mergeCell ref="C9:E9"/>
    <mergeCell ref="C10:E10"/>
    <mergeCell ref="E34:K34"/>
    <mergeCell ref="E49:G49"/>
    <mergeCell ref="H49:K49"/>
    <mergeCell ref="E51:K51"/>
    <mergeCell ref="C24:E24"/>
    <mergeCell ref="I24:K24"/>
    <mergeCell ref="C25:E25"/>
    <mergeCell ref="I25:K25"/>
    <mergeCell ref="C26:E26"/>
    <mergeCell ref="I26:K26"/>
    <mergeCell ref="C27:E27"/>
    <mergeCell ref="H50:K50"/>
    <mergeCell ref="E50:G50"/>
  </mergeCells>
  <conditionalFormatting sqref="J21:K22">
    <cfRule type="expression" dxfId="1303" priority="834">
      <formula>$N$21=10</formula>
    </cfRule>
  </conditionalFormatting>
  <conditionalFormatting sqref="I21:I22 I28">
    <cfRule type="expression" dxfId="1302" priority="835">
      <formula>$N$21=10</formula>
    </cfRule>
  </conditionalFormatting>
  <conditionalFormatting sqref="C9:E9">
    <cfRule type="cellIs" dxfId="1301" priority="816" operator="equal">
      <formula>""</formula>
    </cfRule>
  </conditionalFormatting>
  <conditionalFormatting sqref="C10:E10">
    <cfRule type="cellIs" dxfId="1300" priority="815" operator="equal">
      <formula>""</formula>
    </cfRule>
  </conditionalFormatting>
  <conditionalFormatting sqref="C11:E11">
    <cfRule type="cellIs" dxfId="1299" priority="814" operator="equal">
      <formula>""</formula>
    </cfRule>
  </conditionalFormatting>
  <conditionalFormatting sqref="C13:E13">
    <cfRule type="cellIs" dxfId="1298" priority="813" operator="equal">
      <formula>""</formula>
    </cfRule>
  </conditionalFormatting>
  <conditionalFormatting sqref="C14:E14">
    <cfRule type="cellIs" dxfId="1297" priority="812" operator="equal">
      <formula>""</formula>
    </cfRule>
  </conditionalFormatting>
  <conditionalFormatting sqref="C15:E15">
    <cfRule type="cellIs" dxfId="1296" priority="811" operator="equal">
      <formula>""</formula>
    </cfRule>
  </conditionalFormatting>
  <conditionalFormatting sqref="C18:E18">
    <cfRule type="cellIs" dxfId="1295" priority="810" operator="equal">
      <formula>""</formula>
    </cfRule>
  </conditionalFormatting>
  <conditionalFormatting sqref="C19:E19">
    <cfRule type="cellIs" dxfId="1294" priority="809" operator="equal">
      <formula>""</formula>
    </cfRule>
  </conditionalFormatting>
  <conditionalFormatting sqref="C20:E20">
    <cfRule type="cellIs" dxfId="1293" priority="808" operator="equal">
      <formula>""</formula>
    </cfRule>
  </conditionalFormatting>
  <conditionalFormatting sqref="C21:E21">
    <cfRule type="cellIs" dxfId="1292" priority="807" operator="equal">
      <formula>""</formula>
    </cfRule>
  </conditionalFormatting>
  <conditionalFormatting sqref="A31">
    <cfRule type="cellIs" dxfId="1291" priority="803" operator="equal">
      <formula>""</formula>
    </cfRule>
  </conditionalFormatting>
  <conditionalFormatting sqref="A32">
    <cfRule type="cellIs" dxfId="1290" priority="802" operator="equal">
      <formula>""</formula>
    </cfRule>
  </conditionalFormatting>
  <conditionalFormatting sqref="A33">
    <cfRule type="cellIs" dxfId="1289" priority="801" operator="equal">
      <formula>""</formula>
    </cfRule>
  </conditionalFormatting>
  <conditionalFormatting sqref="A35">
    <cfRule type="cellIs" dxfId="1288" priority="800" operator="equal">
      <formula>""</formula>
    </cfRule>
  </conditionalFormatting>
  <conditionalFormatting sqref="A36">
    <cfRule type="cellIs" dxfId="1287" priority="799" operator="equal">
      <formula>""</formula>
    </cfRule>
  </conditionalFormatting>
  <conditionalFormatting sqref="A37">
    <cfRule type="cellIs" dxfId="1286" priority="798" operator="equal">
      <formula>""</formula>
    </cfRule>
  </conditionalFormatting>
  <conditionalFormatting sqref="A38">
    <cfRule type="cellIs" dxfId="1285" priority="797" operator="equal">
      <formula>""</formula>
    </cfRule>
  </conditionalFormatting>
  <conditionalFormatting sqref="A39">
    <cfRule type="cellIs" dxfId="1284" priority="796" operator="equal">
      <formula>""</formula>
    </cfRule>
  </conditionalFormatting>
  <conditionalFormatting sqref="A40">
    <cfRule type="cellIs" dxfId="1283" priority="795" operator="equal">
      <formula>""</formula>
    </cfRule>
  </conditionalFormatting>
  <conditionalFormatting sqref="A41">
    <cfRule type="cellIs" dxfId="1282" priority="794" operator="equal">
      <formula>""</formula>
    </cfRule>
  </conditionalFormatting>
  <conditionalFormatting sqref="A42">
    <cfRule type="cellIs" dxfId="1281" priority="793" operator="equal">
      <formula>""</formula>
    </cfRule>
  </conditionalFormatting>
  <conditionalFormatting sqref="A43">
    <cfRule type="cellIs" dxfId="1280" priority="792" operator="equal">
      <formula>""</formula>
    </cfRule>
  </conditionalFormatting>
  <conditionalFormatting sqref="A44">
    <cfRule type="cellIs" dxfId="1279" priority="791" operator="equal">
      <formula>""</formula>
    </cfRule>
  </conditionalFormatting>
  <conditionalFormatting sqref="A45">
    <cfRule type="cellIs" dxfId="1278" priority="790" operator="equal">
      <formula>""</formula>
    </cfRule>
  </conditionalFormatting>
  <conditionalFormatting sqref="A46">
    <cfRule type="cellIs" dxfId="1277" priority="789" operator="equal">
      <formula>""</formula>
    </cfRule>
  </conditionalFormatting>
  <conditionalFormatting sqref="A47">
    <cfRule type="cellIs" dxfId="1276" priority="788" operator="equal">
      <formula>""</formula>
    </cfRule>
  </conditionalFormatting>
  <conditionalFormatting sqref="A51">
    <cfRule type="cellIs" dxfId="1275" priority="785" operator="equal">
      <formula>""</formula>
    </cfRule>
  </conditionalFormatting>
  <conditionalFormatting sqref="D103">
    <cfRule type="cellIs" dxfId="1274" priority="684" operator="equal">
      <formula>""</formula>
    </cfRule>
  </conditionalFormatting>
  <conditionalFormatting sqref="D101">
    <cfRule type="cellIs" dxfId="1273" priority="682" operator="equal">
      <formula>""</formula>
    </cfRule>
  </conditionalFormatting>
  <conditionalFormatting sqref="A59">
    <cfRule type="cellIs" dxfId="1272" priority="779" operator="equal">
      <formula>""</formula>
    </cfRule>
  </conditionalFormatting>
  <conditionalFormatting sqref="A62">
    <cfRule type="cellIs" dxfId="1271" priority="777" operator="equal">
      <formula>""</formula>
    </cfRule>
  </conditionalFormatting>
  <conditionalFormatting sqref="A63">
    <cfRule type="cellIs" dxfId="1270" priority="776" operator="equal">
      <formula>""</formula>
    </cfRule>
  </conditionalFormatting>
  <conditionalFormatting sqref="A64">
    <cfRule type="cellIs" dxfId="1269" priority="775" operator="equal">
      <formula>""</formula>
    </cfRule>
  </conditionalFormatting>
  <conditionalFormatting sqref="A65">
    <cfRule type="cellIs" dxfId="1268" priority="774" operator="equal">
      <formula>""</formula>
    </cfRule>
  </conditionalFormatting>
  <conditionalFormatting sqref="A70">
    <cfRule type="cellIs" dxfId="1267" priority="772" operator="equal">
      <formula>""</formula>
    </cfRule>
  </conditionalFormatting>
  <conditionalFormatting sqref="A72">
    <cfRule type="cellIs" dxfId="1266" priority="771" operator="equal">
      <formula>""</formula>
    </cfRule>
  </conditionalFormatting>
  <conditionalFormatting sqref="A71">
    <cfRule type="cellIs" dxfId="1265" priority="770" operator="equal">
      <formula>""</formula>
    </cfRule>
  </conditionalFormatting>
  <conditionalFormatting sqref="A74">
    <cfRule type="cellIs" dxfId="1264" priority="769" operator="equal">
      <formula>""</formula>
    </cfRule>
  </conditionalFormatting>
  <conditionalFormatting sqref="A75">
    <cfRule type="cellIs" dxfId="1263" priority="768" operator="equal">
      <formula>""</formula>
    </cfRule>
  </conditionalFormatting>
  <conditionalFormatting sqref="A76">
    <cfRule type="cellIs" dxfId="1262" priority="767" operator="equal">
      <formula>""</formula>
    </cfRule>
  </conditionalFormatting>
  <conditionalFormatting sqref="A77">
    <cfRule type="cellIs" dxfId="1261" priority="766" operator="equal">
      <formula>""</formula>
    </cfRule>
  </conditionalFormatting>
  <conditionalFormatting sqref="A78">
    <cfRule type="cellIs" dxfId="1260" priority="765" operator="equal">
      <formula>""</formula>
    </cfRule>
  </conditionalFormatting>
  <conditionalFormatting sqref="A79">
    <cfRule type="cellIs" dxfId="1259" priority="764" operator="equal">
      <formula>""</formula>
    </cfRule>
  </conditionalFormatting>
  <conditionalFormatting sqref="A80">
    <cfRule type="cellIs" dxfId="1258" priority="763" operator="equal">
      <formula>""</formula>
    </cfRule>
  </conditionalFormatting>
  <conditionalFormatting sqref="A81">
    <cfRule type="cellIs" dxfId="1257" priority="759" operator="equal">
      <formula>""</formula>
    </cfRule>
  </conditionalFormatting>
  <conditionalFormatting sqref="A83">
    <cfRule type="cellIs" dxfId="1256" priority="758" operator="equal">
      <formula>""</formula>
    </cfRule>
  </conditionalFormatting>
  <conditionalFormatting sqref="A82">
    <cfRule type="cellIs" dxfId="1255" priority="757" operator="equal">
      <formula>""</formula>
    </cfRule>
  </conditionalFormatting>
  <conditionalFormatting sqref="A84">
    <cfRule type="cellIs" dxfId="1254" priority="756" operator="equal">
      <formula>""</formula>
    </cfRule>
  </conditionalFormatting>
  <conditionalFormatting sqref="A86">
    <cfRule type="cellIs" dxfId="1253" priority="755" operator="equal">
      <formula>""</formula>
    </cfRule>
  </conditionalFormatting>
  <conditionalFormatting sqref="A85">
    <cfRule type="cellIs" dxfId="1252" priority="754" operator="equal">
      <formula>""</formula>
    </cfRule>
  </conditionalFormatting>
  <conditionalFormatting sqref="A87">
    <cfRule type="cellIs" dxfId="1251" priority="753" operator="equal">
      <formula>""</formula>
    </cfRule>
  </conditionalFormatting>
  <conditionalFormatting sqref="A88">
    <cfRule type="cellIs" dxfId="1250" priority="752" operator="equal">
      <formula>""</formula>
    </cfRule>
  </conditionalFormatting>
  <conditionalFormatting sqref="A89">
    <cfRule type="cellIs" dxfId="1249" priority="751" operator="equal">
      <formula>""</formula>
    </cfRule>
  </conditionalFormatting>
  <conditionalFormatting sqref="A90">
    <cfRule type="cellIs" dxfId="1248" priority="750" operator="equal">
      <formula>""</formula>
    </cfRule>
  </conditionalFormatting>
  <conditionalFormatting sqref="A91">
    <cfRule type="cellIs" dxfId="1247" priority="749" operator="equal">
      <formula>""</formula>
    </cfRule>
  </conditionalFormatting>
  <conditionalFormatting sqref="A92">
    <cfRule type="cellIs" dxfId="1246" priority="748" operator="equal">
      <formula>""</formula>
    </cfRule>
  </conditionalFormatting>
  <conditionalFormatting sqref="A93">
    <cfRule type="cellIs" dxfId="1245" priority="747" operator="equal">
      <formula>""</formula>
    </cfRule>
  </conditionalFormatting>
  <conditionalFormatting sqref="A95">
    <cfRule type="cellIs" dxfId="1244" priority="746" operator="equal">
      <formula>""</formula>
    </cfRule>
  </conditionalFormatting>
  <conditionalFormatting sqref="A96">
    <cfRule type="cellIs" dxfId="1243" priority="745" operator="equal">
      <formula>""</formula>
    </cfRule>
  </conditionalFormatting>
  <conditionalFormatting sqref="A99">
    <cfRule type="cellIs" dxfId="1242" priority="744" operator="equal">
      <formula>""</formula>
    </cfRule>
  </conditionalFormatting>
  <conditionalFormatting sqref="A100">
    <cfRule type="cellIs" dxfId="1241" priority="743" operator="equal">
      <formula>""</formula>
    </cfRule>
  </conditionalFormatting>
  <conditionalFormatting sqref="A101">
    <cfRule type="cellIs" dxfId="1240" priority="741" operator="equal">
      <formula>""</formula>
    </cfRule>
  </conditionalFormatting>
  <conditionalFormatting sqref="A102">
    <cfRule type="cellIs" dxfId="1239" priority="740" operator="equal">
      <formula>""</formula>
    </cfRule>
  </conditionalFormatting>
  <conditionalFormatting sqref="A103">
    <cfRule type="cellIs" dxfId="1238" priority="739" operator="equal">
      <formula>""</formula>
    </cfRule>
  </conditionalFormatting>
  <conditionalFormatting sqref="B102">
    <cfRule type="cellIs" dxfId="1237" priority="738" operator="equal">
      <formula>""</formula>
    </cfRule>
  </conditionalFormatting>
  <conditionalFormatting sqref="B101">
    <cfRule type="cellIs" dxfId="1236" priority="737" operator="equal">
      <formula>""</formula>
    </cfRule>
  </conditionalFormatting>
  <conditionalFormatting sqref="B103">
    <cfRule type="cellIs" dxfId="1235" priority="736" operator="equal">
      <formula>""</formula>
    </cfRule>
  </conditionalFormatting>
  <conditionalFormatting sqref="C103">
    <cfRule type="cellIs" dxfId="1234" priority="735" operator="equal">
      <formula>""</formula>
    </cfRule>
  </conditionalFormatting>
  <conditionalFormatting sqref="C102">
    <cfRule type="cellIs" dxfId="1233" priority="734" operator="equal">
      <formula>""</formula>
    </cfRule>
  </conditionalFormatting>
  <conditionalFormatting sqref="C101">
    <cfRule type="cellIs" dxfId="1232" priority="733" operator="equal">
      <formula>""</formula>
    </cfRule>
  </conditionalFormatting>
  <conditionalFormatting sqref="E101">
    <cfRule type="cellIs" dxfId="1231" priority="732" operator="equal">
      <formula>""</formula>
    </cfRule>
  </conditionalFormatting>
  <conditionalFormatting sqref="E102">
    <cfRule type="cellIs" dxfId="1230" priority="731" operator="equal">
      <formula>""</formula>
    </cfRule>
  </conditionalFormatting>
  <conditionalFormatting sqref="E103">
    <cfRule type="cellIs" dxfId="1229" priority="730" operator="equal">
      <formula>""</formula>
    </cfRule>
  </conditionalFormatting>
  <conditionalFormatting sqref="L103">
    <cfRule type="cellIs" dxfId="1228" priority="729" operator="equal">
      <formula>""</formula>
    </cfRule>
  </conditionalFormatting>
  <conditionalFormatting sqref="L102">
    <cfRule type="cellIs" dxfId="1227" priority="728" operator="equal">
      <formula>""</formula>
    </cfRule>
  </conditionalFormatting>
  <conditionalFormatting sqref="L101">
    <cfRule type="cellIs" dxfId="1226" priority="727" operator="equal">
      <formula>""</formula>
    </cfRule>
  </conditionalFormatting>
  <conditionalFormatting sqref="M101">
    <cfRule type="cellIs" dxfId="1225" priority="726" operator="equal">
      <formula>""</formula>
    </cfRule>
  </conditionalFormatting>
  <conditionalFormatting sqref="M102">
    <cfRule type="cellIs" dxfId="1224" priority="725" operator="equal">
      <formula>""</formula>
    </cfRule>
  </conditionalFormatting>
  <conditionalFormatting sqref="M103">
    <cfRule type="cellIs" dxfId="1223" priority="724" operator="equal">
      <formula>""</formula>
    </cfRule>
  </conditionalFormatting>
  <conditionalFormatting sqref="A34">
    <cfRule type="cellIs" dxfId="1222" priority="685" operator="equal">
      <formula>""</formula>
    </cfRule>
  </conditionalFormatting>
  <conditionalFormatting sqref="D102">
    <cfRule type="cellIs" dxfId="1221" priority="683" operator="equal">
      <formula>""</formula>
    </cfRule>
  </conditionalFormatting>
  <conditionalFormatting sqref="T32:AB32">
    <cfRule type="duplicateValues" dxfId="1220" priority="681"/>
  </conditionalFormatting>
  <conditionalFormatting sqref="AC32">
    <cfRule type="duplicateValues" dxfId="1219" priority="680"/>
  </conditionalFormatting>
  <conditionalFormatting sqref="AM32">
    <cfRule type="duplicateValues" dxfId="1218" priority="679"/>
  </conditionalFormatting>
  <conditionalFormatting sqref="AD32:AL32">
    <cfRule type="duplicateValues" dxfId="1217" priority="678"/>
  </conditionalFormatting>
  <conditionalFormatting sqref="T31:AB31">
    <cfRule type="duplicateValues" dxfId="1216" priority="677"/>
  </conditionalFormatting>
  <conditionalFormatting sqref="AC31">
    <cfRule type="duplicateValues" dxfId="1215" priority="676"/>
  </conditionalFormatting>
  <conditionalFormatting sqref="AM31">
    <cfRule type="duplicateValues" dxfId="1214" priority="675"/>
  </conditionalFormatting>
  <conditionalFormatting sqref="AD31:AL31">
    <cfRule type="duplicateValues" dxfId="1213" priority="674"/>
  </conditionalFormatting>
  <conditionalFormatting sqref="T33:AB33">
    <cfRule type="duplicateValues" dxfId="1212" priority="673"/>
  </conditionalFormatting>
  <conditionalFormatting sqref="AD33:AL33">
    <cfRule type="duplicateValues" dxfId="1211" priority="672"/>
  </conditionalFormatting>
  <conditionalFormatting sqref="AC33">
    <cfRule type="duplicateValues" dxfId="1210" priority="671"/>
  </conditionalFormatting>
  <conditionalFormatting sqref="AM33">
    <cfRule type="duplicateValues" dxfId="1209" priority="670"/>
  </conditionalFormatting>
  <conditionalFormatting sqref="D70">
    <cfRule type="duplicateValues" dxfId="1208" priority="547"/>
  </conditionalFormatting>
  <conditionalFormatting sqref="D78">
    <cfRule type="duplicateValues" dxfId="1207" priority="546"/>
  </conditionalFormatting>
  <conditionalFormatting sqref="T72:AB72">
    <cfRule type="duplicateValues" dxfId="1206" priority="545"/>
  </conditionalFormatting>
  <conditionalFormatting sqref="AC72">
    <cfRule type="duplicateValues" dxfId="1205" priority="544"/>
  </conditionalFormatting>
  <conditionalFormatting sqref="I13">
    <cfRule type="expression" dxfId="1204" priority="485">
      <formula>$N$13=2</formula>
    </cfRule>
    <cfRule type="expression" dxfId="1203" priority="488">
      <formula>$N$13=1</formula>
    </cfRule>
  </conditionalFormatting>
  <conditionalFormatting sqref="L13">
    <cfRule type="expression" dxfId="1202" priority="486">
      <formula>$N$13=1</formula>
    </cfRule>
    <cfRule type="expression" dxfId="1201" priority="487">
      <formula>$N$13=2</formula>
    </cfRule>
  </conditionalFormatting>
  <conditionalFormatting sqref="A48">
    <cfRule type="cellIs" dxfId="1200" priority="484" operator="equal">
      <formula>""</formula>
    </cfRule>
  </conditionalFormatting>
  <conditionalFormatting sqref="A50">
    <cfRule type="cellIs" dxfId="1199" priority="483" operator="equal">
      <formula>""</formula>
    </cfRule>
  </conditionalFormatting>
  <conditionalFormatting sqref="A49">
    <cfRule type="cellIs" dxfId="1198" priority="482" operator="equal">
      <formula>""</formula>
    </cfRule>
  </conditionalFormatting>
  <conditionalFormatting sqref="A55">
    <cfRule type="cellIs" dxfId="1197" priority="449" operator="equal">
      <formula>""</formula>
    </cfRule>
  </conditionalFormatting>
  <conditionalFormatting sqref="A56">
    <cfRule type="cellIs" dxfId="1196" priority="448" operator="equal">
      <formula>""</formula>
    </cfRule>
  </conditionalFormatting>
  <conditionalFormatting sqref="A57">
    <cfRule type="cellIs" dxfId="1195" priority="447" operator="equal">
      <formula>""</formula>
    </cfRule>
  </conditionalFormatting>
  <conditionalFormatting sqref="A58">
    <cfRule type="cellIs" dxfId="1194" priority="366" operator="equal">
      <formula>""</formula>
    </cfRule>
  </conditionalFormatting>
  <conditionalFormatting sqref="A61">
    <cfRule type="cellIs" dxfId="1193" priority="365" operator="equal">
      <formula>""</formula>
    </cfRule>
  </conditionalFormatting>
  <conditionalFormatting sqref="A60">
    <cfRule type="cellIs" dxfId="1192" priority="363" operator="equal">
      <formula>""</formula>
    </cfRule>
  </conditionalFormatting>
  <conditionalFormatting sqref="A67">
    <cfRule type="cellIs" dxfId="1191" priority="361" operator="equal">
      <formula>""</formula>
    </cfRule>
  </conditionalFormatting>
  <conditionalFormatting sqref="A69">
    <cfRule type="cellIs" dxfId="1190" priority="360" operator="equal">
      <formula>""</formula>
    </cfRule>
  </conditionalFormatting>
  <conditionalFormatting sqref="A66">
    <cfRule type="cellIs" dxfId="1189" priority="357" operator="equal">
      <formula>""</formula>
    </cfRule>
  </conditionalFormatting>
  <conditionalFormatting sqref="A68">
    <cfRule type="cellIs" dxfId="1188" priority="354" operator="equal">
      <formula>""</formula>
    </cfRule>
  </conditionalFormatting>
  <conditionalFormatting sqref="D68">
    <cfRule type="duplicateValues" dxfId="1187" priority="352"/>
  </conditionalFormatting>
  <conditionalFormatting sqref="D69">
    <cfRule type="duplicateValues" dxfId="1186" priority="353"/>
  </conditionalFormatting>
  <conditionalFormatting sqref="A97">
    <cfRule type="cellIs" dxfId="1185" priority="350" operator="equal">
      <formula>""</formula>
    </cfRule>
  </conditionalFormatting>
  <conditionalFormatting sqref="A98">
    <cfRule type="cellIs" dxfId="1184" priority="351" operator="equal">
      <formula>""</formula>
    </cfRule>
  </conditionalFormatting>
  <conditionalFormatting sqref="A73">
    <cfRule type="cellIs" dxfId="1183" priority="349" operator="equal">
      <formula>""</formula>
    </cfRule>
  </conditionalFormatting>
  <conditionalFormatting sqref="A52:A54">
    <cfRule type="cellIs" dxfId="1182" priority="346" operator="equal">
      <formula>""</formula>
    </cfRule>
  </conditionalFormatting>
  <conditionalFormatting sqref="T52:AB54">
    <cfRule type="duplicateValues" dxfId="1181" priority="345"/>
  </conditionalFormatting>
  <conditionalFormatting sqref="T71:AB71">
    <cfRule type="duplicateValues" dxfId="1180" priority="281"/>
  </conditionalFormatting>
  <conditionalFormatting sqref="T80:AC80">
    <cfRule type="duplicateValues" dxfId="1179" priority="270"/>
  </conditionalFormatting>
  <conditionalFormatting sqref="T94:AB94">
    <cfRule type="duplicateValues" dxfId="1178" priority="246"/>
  </conditionalFormatting>
  <conditionalFormatting sqref="AC94">
    <cfRule type="duplicateValues" dxfId="1177" priority="245"/>
  </conditionalFormatting>
  <conditionalFormatting sqref="T99:X99">
    <cfRule type="duplicateValues" dxfId="1176" priority="244"/>
  </conditionalFormatting>
  <conditionalFormatting sqref="A94">
    <cfRule type="cellIs" dxfId="1175" priority="240" operator="equal">
      <formula>""</formula>
    </cfRule>
  </conditionalFormatting>
  <conditionalFormatting sqref="C24:E24">
    <cfRule type="cellIs" dxfId="1174" priority="235" operator="equal">
      <formula>""</formula>
    </cfRule>
  </conditionalFormatting>
  <conditionalFormatting sqref="C25:E25">
    <cfRule type="cellIs" dxfId="1173" priority="234" operator="equal">
      <formula>""</formula>
    </cfRule>
  </conditionalFormatting>
  <conditionalFormatting sqref="C26:E26">
    <cfRule type="cellIs" dxfId="1172" priority="233" operator="equal">
      <formula>""</formula>
    </cfRule>
  </conditionalFormatting>
  <conditionalFormatting sqref="C27:E27">
    <cfRule type="cellIs" dxfId="1171" priority="232" operator="equal">
      <formula>""</formula>
    </cfRule>
  </conditionalFormatting>
  <conditionalFormatting sqref="I26:K26 I24:I25">
    <cfRule type="cellIs" dxfId="1170" priority="231" operator="equal">
      <formula>""</formula>
    </cfRule>
  </conditionalFormatting>
  <conditionalFormatting sqref="K4">
    <cfRule type="cellIs" dxfId="1169" priority="226" operator="equal">
      <formula>""</formula>
    </cfRule>
  </conditionalFormatting>
  <conditionalFormatting sqref="K5">
    <cfRule type="cellIs" dxfId="1168" priority="225" operator="equal">
      <formula>""</formula>
    </cfRule>
  </conditionalFormatting>
  <conditionalFormatting sqref="K6">
    <cfRule type="cellIs" dxfId="1167" priority="224" operator="equal">
      <formula>""</formula>
    </cfRule>
  </conditionalFormatting>
  <conditionalFormatting sqref="K7">
    <cfRule type="cellIs" dxfId="1166" priority="223" operator="equal">
      <formula>""</formula>
    </cfRule>
  </conditionalFormatting>
  <conditionalFormatting sqref="Y38:AC38 T38:W38">
    <cfRule type="duplicateValues" dxfId="1165" priority="216"/>
  </conditionalFormatting>
  <conditionalFormatting sqref="T41:AB41 AD41:AL41">
    <cfRule type="duplicateValues" dxfId="1164" priority="217"/>
  </conditionalFormatting>
  <conditionalFormatting sqref="AC41">
    <cfRule type="duplicateValues" dxfId="1163" priority="215"/>
  </conditionalFormatting>
  <conditionalFormatting sqref="AD42:AL42 T42:AB42">
    <cfRule type="duplicateValues" dxfId="1162" priority="218"/>
  </conditionalFormatting>
  <conditionalFormatting sqref="T43:AL43">
    <cfRule type="duplicateValues" dxfId="1161" priority="219"/>
  </conditionalFormatting>
  <conditionalFormatting sqref="T44:AM44">
    <cfRule type="duplicateValues" dxfId="1160" priority="220"/>
  </conditionalFormatting>
  <conditionalFormatting sqref="AD46:AM46">
    <cfRule type="duplicateValues" dxfId="1159" priority="214"/>
  </conditionalFormatting>
  <conditionalFormatting sqref="T46:AC46">
    <cfRule type="duplicateValues" dxfId="1158" priority="221"/>
  </conditionalFormatting>
  <conditionalFormatting sqref="AD47:AL47">
    <cfRule type="duplicateValues" dxfId="1157" priority="213"/>
  </conditionalFormatting>
  <conditionalFormatting sqref="AC47">
    <cfRule type="duplicateValues" dxfId="1156" priority="212"/>
  </conditionalFormatting>
  <conditionalFormatting sqref="AM47">
    <cfRule type="duplicateValues" dxfId="1155" priority="211"/>
  </conditionalFormatting>
  <conditionalFormatting sqref="T47:AB47">
    <cfRule type="duplicateValues" dxfId="1154" priority="222"/>
  </conditionalFormatting>
  <conditionalFormatting sqref="T49">
    <cfRule type="duplicateValues" dxfId="1153" priority="210"/>
  </conditionalFormatting>
  <conditionalFormatting sqref="Y49">
    <cfRule type="duplicateValues" dxfId="1152" priority="209"/>
  </conditionalFormatting>
  <conditionalFormatting sqref="V49">
    <cfRule type="duplicateValues" dxfId="1151" priority="208"/>
  </conditionalFormatting>
  <conditionalFormatting sqref="U49">
    <cfRule type="duplicateValues" dxfId="1150" priority="207"/>
  </conditionalFormatting>
  <conditionalFormatting sqref="AA49">
    <cfRule type="duplicateValues" dxfId="1149" priority="206"/>
  </conditionalFormatting>
  <conditionalFormatting sqref="Z49">
    <cfRule type="duplicateValues" dxfId="1148" priority="205"/>
  </conditionalFormatting>
  <conditionalFormatting sqref="W49">
    <cfRule type="duplicateValues" dxfId="1147" priority="204"/>
  </conditionalFormatting>
  <conditionalFormatting sqref="T50">
    <cfRule type="duplicateValues" dxfId="1146" priority="203"/>
  </conditionalFormatting>
  <conditionalFormatting sqref="W50">
    <cfRule type="duplicateValues" dxfId="1145" priority="202"/>
  </conditionalFormatting>
  <conditionalFormatting sqref="V50">
    <cfRule type="duplicateValues" dxfId="1144" priority="201"/>
  </conditionalFormatting>
  <conditionalFormatting sqref="U50">
    <cfRule type="duplicateValues" dxfId="1143" priority="200"/>
  </conditionalFormatting>
  <conditionalFormatting sqref="Y50">
    <cfRule type="duplicateValues" dxfId="1142" priority="199"/>
  </conditionalFormatting>
  <conditionalFormatting sqref="AA50">
    <cfRule type="duplicateValues" dxfId="1141" priority="198"/>
  </conditionalFormatting>
  <conditionalFormatting sqref="Z50">
    <cfRule type="duplicateValues" dxfId="1140" priority="197"/>
  </conditionalFormatting>
  <conditionalFormatting sqref="T51">
    <cfRule type="duplicateValues" dxfId="1139" priority="196"/>
  </conditionalFormatting>
  <conditionalFormatting sqref="U51">
    <cfRule type="duplicateValues" dxfId="1138" priority="195"/>
  </conditionalFormatting>
  <conditionalFormatting sqref="V51">
    <cfRule type="duplicateValues" dxfId="1137" priority="194"/>
  </conditionalFormatting>
  <conditionalFormatting sqref="W51">
    <cfRule type="duplicateValues" dxfId="1136" priority="193"/>
  </conditionalFormatting>
  <conditionalFormatting sqref="X51">
    <cfRule type="duplicateValues" dxfId="1135" priority="192"/>
  </conditionalFormatting>
  <conditionalFormatting sqref="Y51">
    <cfRule type="duplicateValues" dxfId="1134" priority="191"/>
  </conditionalFormatting>
  <conditionalFormatting sqref="Z51">
    <cfRule type="duplicateValues" dxfId="1133" priority="190"/>
  </conditionalFormatting>
  <conditionalFormatting sqref="AA51">
    <cfRule type="duplicateValues" dxfId="1132" priority="189"/>
  </conditionalFormatting>
  <conditionalFormatting sqref="AB51">
    <cfRule type="duplicateValues" dxfId="1131" priority="188"/>
  </conditionalFormatting>
  <conditionalFormatting sqref="T45:AC45">
    <cfRule type="duplicateValues" dxfId="1130" priority="187"/>
  </conditionalFormatting>
  <conditionalFormatting sqref="AM45">
    <cfRule type="duplicateValues" dxfId="1129" priority="186"/>
  </conditionalFormatting>
  <conditionalFormatting sqref="AD45:AL45">
    <cfRule type="duplicateValues" dxfId="1128" priority="185"/>
  </conditionalFormatting>
  <conditionalFormatting sqref="T48">
    <cfRule type="duplicateValues" dxfId="1127" priority="184"/>
  </conditionalFormatting>
  <conditionalFormatting sqref="Y48">
    <cfRule type="duplicateValues" dxfId="1126" priority="183"/>
  </conditionalFormatting>
  <conditionalFormatting sqref="V48">
    <cfRule type="duplicateValues" dxfId="1125" priority="182"/>
  </conditionalFormatting>
  <conditionalFormatting sqref="U48">
    <cfRule type="duplicateValues" dxfId="1124" priority="181"/>
  </conditionalFormatting>
  <conditionalFormatting sqref="AA48">
    <cfRule type="duplicateValues" dxfId="1123" priority="180"/>
  </conditionalFormatting>
  <conditionalFormatting sqref="Z48">
    <cfRule type="duplicateValues" dxfId="1122" priority="179"/>
  </conditionalFormatting>
  <conditionalFormatting sqref="W48">
    <cfRule type="duplicateValues" dxfId="1121" priority="178"/>
  </conditionalFormatting>
  <conditionalFormatting sqref="X48">
    <cfRule type="duplicateValues" dxfId="1120" priority="177"/>
  </conditionalFormatting>
  <conditionalFormatting sqref="AB48">
    <cfRule type="duplicateValues" dxfId="1119" priority="176"/>
  </conditionalFormatting>
  <conditionalFormatting sqref="AB49">
    <cfRule type="duplicateValues" dxfId="1118" priority="175"/>
  </conditionalFormatting>
  <conditionalFormatting sqref="AB50">
    <cfRule type="duplicateValues" dxfId="1117" priority="174"/>
  </conditionalFormatting>
  <conditionalFormatting sqref="AC51">
    <cfRule type="duplicateValues" dxfId="1116" priority="173"/>
  </conditionalFormatting>
  <conditionalFormatting sqref="AC49">
    <cfRule type="duplicateValues" dxfId="1115" priority="172"/>
  </conditionalFormatting>
  <conditionalFormatting sqref="AC50">
    <cfRule type="duplicateValues" dxfId="1114" priority="171"/>
  </conditionalFormatting>
  <conditionalFormatting sqref="AC48">
    <cfRule type="duplicateValues" dxfId="1113" priority="170"/>
  </conditionalFormatting>
  <conditionalFormatting sqref="AD56:AM56">
    <cfRule type="duplicateValues" dxfId="1112" priority="166"/>
  </conditionalFormatting>
  <conditionalFormatting sqref="T56:AB56">
    <cfRule type="duplicateValues" dxfId="1111" priority="167"/>
  </conditionalFormatting>
  <conditionalFormatting sqref="AY56:BG56">
    <cfRule type="duplicateValues" dxfId="1110" priority="164"/>
  </conditionalFormatting>
  <conditionalFormatting sqref="AO56:AW56">
    <cfRule type="duplicateValues" dxfId="1109" priority="165"/>
  </conditionalFormatting>
  <conditionalFormatting sqref="BT56:CC56">
    <cfRule type="duplicateValues" dxfId="1108" priority="162"/>
  </conditionalFormatting>
  <conditionalFormatting sqref="BK56:BR56">
    <cfRule type="duplicateValues" dxfId="1107" priority="163"/>
  </conditionalFormatting>
  <conditionalFormatting sqref="CF56:CM56">
    <cfRule type="duplicateValues" dxfId="1106" priority="168"/>
  </conditionalFormatting>
  <conditionalFormatting sqref="CO56:CW56">
    <cfRule type="duplicateValues" dxfId="1105" priority="169"/>
  </conditionalFormatting>
  <conditionalFormatting sqref="DA56:DH56">
    <cfRule type="duplicateValues" dxfId="1104" priority="160"/>
  </conditionalFormatting>
  <conditionalFormatting sqref="DJ56:DR56">
    <cfRule type="duplicateValues" dxfId="1103" priority="161"/>
  </conditionalFormatting>
  <conditionalFormatting sqref="DV56:EC56">
    <cfRule type="duplicateValues" dxfId="1102" priority="159"/>
  </conditionalFormatting>
  <conditionalFormatting sqref="EQ56:EX56">
    <cfRule type="duplicateValues" dxfId="1101" priority="158"/>
  </conditionalFormatting>
  <conditionalFormatting sqref="EZ56:FH56">
    <cfRule type="duplicateValues" dxfId="1100" priority="157"/>
  </conditionalFormatting>
  <conditionalFormatting sqref="FL56:FS56">
    <cfRule type="duplicateValues" dxfId="1099" priority="156"/>
  </conditionalFormatting>
  <conditionalFormatting sqref="FU56:GC56">
    <cfRule type="duplicateValues" dxfId="1098" priority="155"/>
  </conditionalFormatting>
  <conditionalFormatting sqref="GG56:GN56">
    <cfRule type="duplicateValues" dxfId="1097" priority="154"/>
  </conditionalFormatting>
  <conditionalFormatting sqref="GP56:GX56">
    <cfRule type="duplicateValues" dxfId="1096" priority="153"/>
  </conditionalFormatting>
  <conditionalFormatting sqref="HB56:HI56">
    <cfRule type="duplicateValues" dxfId="1095" priority="152"/>
  </conditionalFormatting>
  <conditionalFormatting sqref="HK56:HS56">
    <cfRule type="duplicateValues" dxfId="1094" priority="151"/>
  </conditionalFormatting>
  <conditionalFormatting sqref="HW56:ID56">
    <cfRule type="duplicateValues" dxfId="1093" priority="150"/>
  </conditionalFormatting>
  <conditionalFormatting sqref="IF56:IN56">
    <cfRule type="duplicateValues" dxfId="1092" priority="149"/>
  </conditionalFormatting>
  <conditionalFormatting sqref="IR56:IY56">
    <cfRule type="duplicateValues" dxfId="1091" priority="148"/>
  </conditionalFormatting>
  <conditionalFormatting sqref="JA56:JI56">
    <cfRule type="duplicateValues" dxfId="1090" priority="147"/>
  </conditionalFormatting>
  <conditionalFormatting sqref="JM56:JT56">
    <cfRule type="duplicateValues" dxfId="1089" priority="146"/>
  </conditionalFormatting>
  <conditionalFormatting sqref="JV56:KD56">
    <cfRule type="duplicateValues" dxfId="1088" priority="145"/>
  </conditionalFormatting>
  <conditionalFormatting sqref="KH56:KO56">
    <cfRule type="duplicateValues" dxfId="1087" priority="144"/>
  </conditionalFormatting>
  <conditionalFormatting sqref="KQ56:KY56">
    <cfRule type="duplicateValues" dxfId="1086" priority="143"/>
  </conditionalFormatting>
  <conditionalFormatting sqref="LL56:LT56">
    <cfRule type="duplicateValues" dxfId="1085" priority="142"/>
  </conditionalFormatting>
  <conditionalFormatting sqref="LC56:LJ56">
    <cfRule type="duplicateValues" dxfId="1084" priority="141"/>
  </conditionalFormatting>
  <conditionalFormatting sqref="LX56:ME56">
    <cfRule type="duplicateValues" dxfId="1083" priority="140"/>
  </conditionalFormatting>
  <conditionalFormatting sqref="MG56:MO56">
    <cfRule type="duplicateValues" dxfId="1082" priority="139"/>
  </conditionalFormatting>
  <conditionalFormatting sqref="MS56:MZ56">
    <cfRule type="duplicateValues" dxfId="1081" priority="138"/>
  </conditionalFormatting>
  <conditionalFormatting sqref="NB56:NJ56">
    <cfRule type="duplicateValues" dxfId="1080" priority="137"/>
  </conditionalFormatting>
  <conditionalFormatting sqref="NN56:NU56">
    <cfRule type="duplicateValues" dxfId="1079" priority="136"/>
  </conditionalFormatting>
  <conditionalFormatting sqref="NW56:OE56">
    <cfRule type="duplicateValues" dxfId="1078" priority="135"/>
  </conditionalFormatting>
  <conditionalFormatting sqref="OI56:OP56">
    <cfRule type="duplicateValues" dxfId="1077" priority="134"/>
  </conditionalFormatting>
  <conditionalFormatting sqref="OR56:OZ56">
    <cfRule type="duplicateValues" dxfId="1076" priority="133"/>
  </conditionalFormatting>
  <conditionalFormatting sqref="PD56:PK56">
    <cfRule type="duplicateValues" dxfId="1075" priority="132"/>
  </conditionalFormatting>
  <conditionalFormatting sqref="PM56:PU56">
    <cfRule type="duplicateValues" dxfId="1074" priority="131"/>
  </conditionalFormatting>
  <conditionalFormatting sqref="PY56:QF56">
    <cfRule type="duplicateValues" dxfId="1073" priority="130"/>
  </conditionalFormatting>
  <conditionalFormatting sqref="QH56:QQ56">
    <cfRule type="duplicateValues" dxfId="1072" priority="129"/>
  </conditionalFormatting>
  <conditionalFormatting sqref="T57:AB57 AD57:AL57">
    <cfRule type="duplicateValues" dxfId="1071" priority="128"/>
  </conditionalFormatting>
  <conditionalFormatting sqref="BJ56">
    <cfRule type="duplicateValues" dxfId="1070" priority="127"/>
  </conditionalFormatting>
  <conditionalFormatting sqref="CE56">
    <cfRule type="duplicateValues" dxfId="1069" priority="126"/>
  </conditionalFormatting>
  <conditionalFormatting sqref="CZ56">
    <cfRule type="duplicateValues" dxfId="1068" priority="125"/>
  </conditionalFormatting>
  <conditionalFormatting sqref="DU56">
    <cfRule type="duplicateValues" dxfId="1067" priority="124"/>
  </conditionalFormatting>
  <conditionalFormatting sqref="EP56">
    <cfRule type="duplicateValues" dxfId="1066" priority="123"/>
  </conditionalFormatting>
  <conditionalFormatting sqref="FK56">
    <cfRule type="duplicateValues" dxfId="1065" priority="122"/>
  </conditionalFormatting>
  <conditionalFormatting sqref="GF56">
    <cfRule type="duplicateValues" dxfId="1064" priority="121"/>
  </conditionalFormatting>
  <conditionalFormatting sqref="HA56">
    <cfRule type="duplicateValues" dxfId="1063" priority="120"/>
  </conditionalFormatting>
  <conditionalFormatting sqref="HV56">
    <cfRule type="duplicateValues" dxfId="1062" priority="119"/>
  </conditionalFormatting>
  <conditionalFormatting sqref="IQ56">
    <cfRule type="duplicateValues" dxfId="1061" priority="118"/>
  </conditionalFormatting>
  <conditionalFormatting sqref="JL56">
    <cfRule type="duplicateValues" dxfId="1060" priority="117"/>
  </conditionalFormatting>
  <conditionalFormatting sqref="KG56">
    <cfRule type="duplicateValues" dxfId="1059" priority="116"/>
  </conditionalFormatting>
  <conditionalFormatting sqref="LB56">
    <cfRule type="duplicateValues" dxfId="1058" priority="115"/>
  </conditionalFormatting>
  <conditionalFormatting sqref="LW56">
    <cfRule type="duplicateValues" dxfId="1057" priority="114"/>
  </conditionalFormatting>
  <conditionalFormatting sqref="MR56">
    <cfRule type="duplicateValues" dxfId="1056" priority="113"/>
  </conditionalFormatting>
  <conditionalFormatting sqref="NM56">
    <cfRule type="duplicateValues" dxfId="1055" priority="112"/>
  </conditionalFormatting>
  <conditionalFormatting sqref="OH56">
    <cfRule type="duplicateValues" dxfId="1054" priority="111"/>
  </conditionalFormatting>
  <conditionalFormatting sqref="PC56">
    <cfRule type="duplicateValues" dxfId="1053" priority="110"/>
  </conditionalFormatting>
  <conditionalFormatting sqref="PX56">
    <cfRule type="duplicateValues" dxfId="1052" priority="109"/>
  </conditionalFormatting>
  <conditionalFormatting sqref="AO57:AW57 AY57:BG57">
    <cfRule type="duplicateValues" dxfId="1051" priority="108"/>
  </conditionalFormatting>
  <conditionalFormatting sqref="BJ57:BR57 BT57:CB57">
    <cfRule type="duplicateValues" dxfId="1050" priority="107"/>
  </conditionalFormatting>
  <conditionalFormatting sqref="CE57:CM57 DJ57:DR57">
    <cfRule type="duplicateValues" dxfId="1049" priority="106"/>
  </conditionalFormatting>
  <conditionalFormatting sqref="DU57:EC57 EE57:EM57">
    <cfRule type="duplicateValues" dxfId="1048" priority="105"/>
  </conditionalFormatting>
  <conditionalFormatting sqref="EP57:EX57 EZ57:FH57">
    <cfRule type="duplicateValues" dxfId="1047" priority="104"/>
  </conditionalFormatting>
  <conditionalFormatting sqref="FK57:FS57 FU57:GC57">
    <cfRule type="duplicateValues" dxfId="1046" priority="103"/>
  </conditionalFormatting>
  <conditionalFormatting sqref="T59:AC59">
    <cfRule type="duplicateValues" dxfId="1045" priority="102"/>
  </conditionalFormatting>
  <conditionalFormatting sqref="T61:AC61">
    <cfRule type="duplicateValues" dxfId="1044" priority="101"/>
  </conditionalFormatting>
  <conditionalFormatting sqref="T62:AC62 AC63:AC65">
    <cfRule type="duplicateValues" dxfId="1043" priority="100"/>
  </conditionalFormatting>
  <conditionalFormatting sqref="T63:AB63">
    <cfRule type="duplicateValues" dxfId="1042" priority="99"/>
  </conditionalFormatting>
  <conditionalFormatting sqref="AC63">
    <cfRule type="duplicateValues" dxfId="1041" priority="98"/>
  </conditionalFormatting>
  <conditionalFormatting sqref="T64:AB64">
    <cfRule type="duplicateValues" dxfId="1040" priority="97"/>
  </conditionalFormatting>
  <conditionalFormatting sqref="AC64">
    <cfRule type="duplicateValues" dxfId="1039" priority="96"/>
  </conditionalFormatting>
  <conditionalFormatting sqref="T67:AB67">
    <cfRule type="duplicateValues" dxfId="1038" priority="95"/>
  </conditionalFormatting>
  <conditionalFormatting sqref="AC67">
    <cfRule type="duplicateValues" dxfId="1037" priority="94"/>
  </conditionalFormatting>
  <conditionalFormatting sqref="T60:AC60">
    <cfRule type="duplicateValues" dxfId="1036" priority="93"/>
  </conditionalFormatting>
  <conditionalFormatting sqref="T65:AB65">
    <cfRule type="duplicateValues" dxfId="1035" priority="92"/>
  </conditionalFormatting>
  <conditionalFormatting sqref="AC65">
    <cfRule type="duplicateValues" dxfId="1034" priority="91"/>
  </conditionalFormatting>
  <conditionalFormatting sqref="T66:AB66">
    <cfRule type="duplicateValues" dxfId="1033" priority="90"/>
  </conditionalFormatting>
  <conditionalFormatting sqref="AC66">
    <cfRule type="duplicateValues" dxfId="1032" priority="89"/>
  </conditionalFormatting>
  <conditionalFormatting sqref="AC55">
    <cfRule type="duplicateValues" dxfId="1031" priority="87"/>
  </conditionalFormatting>
  <conditionalFormatting sqref="T55:AB55">
    <cfRule type="duplicateValues" dxfId="1030" priority="88"/>
  </conditionalFormatting>
  <conditionalFormatting sqref="EE56:EM56">
    <cfRule type="duplicateValues" dxfId="1029" priority="86"/>
  </conditionalFormatting>
  <conditionalFormatting sqref="CO57:CW57">
    <cfRule type="duplicateValues" dxfId="1028" priority="85"/>
  </conditionalFormatting>
  <conditionalFormatting sqref="T58:AB58 AD58:AM58">
    <cfRule type="duplicateValues" dxfId="1027" priority="84"/>
  </conditionalFormatting>
  <conditionalFormatting sqref="AO58:AW58 AY58:BH58">
    <cfRule type="duplicateValues" dxfId="1026" priority="83"/>
  </conditionalFormatting>
  <conditionalFormatting sqref="BJ58:BR58 BT58:CC58">
    <cfRule type="duplicateValues" dxfId="1025" priority="82"/>
  </conditionalFormatting>
  <conditionalFormatting sqref="CE58:CM58 DJ58:DS58">
    <cfRule type="duplicateValues" dxfId="1024" priority="81"/>
  </conditionalFormatting>
  <conditionalFormatting sqref="DU58:EC58 EE58:EN58">
    <cfRule type="duplicateValues" dxfId="1023" priority="80"/>
  </conditionalFormatting>
  <conditionalFormatting sqref="CO58:CX58">
    <cfRule type="duplicateValues" dxfId="1022" priority="79"/>
  </conditionalFormatting>
  <conditionalFormatting sqref="AM55">
    <cfRule type="duplicateValues" dxfId="1021" priority="77"/>
  </conditionalFormatting>
  <conditionalFormatting sqref="AD55:AL55">
    <cfRule type="duplicateValues" dxfId="1020" priority="78"/>
  </conditionalFormatting>
  <conditionalFormatting sqref="AM57">
    <cfRule type="duplicateValues" dxfId="1019" priority="76"/>
  </conditionalFormatting>
  <conditionalFormatting sqref="BH56">
    <cfRule type="duplicateValues" dxfId="1018" priority="75"/>
  </conditionalFormatting>
  <conditionalFormatting sqref="BH57">
    <cfRule type="duplicateValues" dxfId="1017" priority="74"/>
  </conditionalFormatting>
  <conditionalFormatting sqref="CC57">
    <cfRule type="duplicateValues" dxfId="1016" priority="73"/>
  </conditionalFormatting>
  <conditionalFormatting sqref="CX56">
    <cfRule type="duplicateValues" dxfId="1015" priority="72"/>
  </conditionalFormatting>
  <conditionalFormatting sqref="CX57">
    <cfRule type="duplicateValues" dxfId="1014" priority="71"/>
  </conditionalFormatting>
  <conditionalFormatting sqref="DS56">
    <cfRule type="duplicateValues" dxfId="1013" priority="70"/>
  </conditionalFormatting>
  <conditionalFormatting sqref="DS57">
    <cfRule type="duplicateValues" dxfId="1012" priority="69"/>
  </conditionalFormatting>
  <conditionalFormatting sqref="EN56">
    <cfRule type="duplicateValues" dxfId="1011" priority="68"/>
  </conditionalFormatting>
  <conditionalFormatting sqref="EN57">
    <cfRule type="duplicateValues" dxfId="1010" priority="67"/>
  </conditionalFormatting>
  <conditionalFormatting sqref="FI56">
    <cfRule type="duplicateValues" dxfId="1009" priority="66"/>
  </conditionalFormatting>
  <conditionalFormatting sqref="FI57">
    <cfRule type="duplicateValues" dxfId="1008" priority="65"/>
  </conditionalFormatting>
  <conditionalFormatting sqref="GD56">
    <cfRule type="duplicateValues" dxfId="1007" priority="64"/>
  </conditionalFormatting>
  <conditionalFormatting sqref="GD57">
    <cfRule type="duplicateValues" dxfId="1006" priority="63"/>
  </conditionalFormatting>
  <conditionalFormatting sqref="PV56">
    <cfRule type="duplicateValues" dxfId="1005" priority="62"/>
  </conditionalFormatting>
  <conditionalFormatting sqref="PA56">
    <cfRule type="duplicateValues" dxfId="1004" priority="61"/>
  </conditionalFormatting>
  <conditionalFormatting sqref="OF56">
    <cfRule type="duplicateValues" dxfId="1003" priority="60"/>
  </conditionalFormatting>
  <conditionalFormatting sqref="NK56">
    <cfRule type="duplicateValues" dxfId="1002" priority="59"/>
  </conditionalFormatting>
  <conditionalFormatting sqref="MP56">
    <cfRule type="duplicateValues" dxfId="1001" priority="58"/>
  </conditionalFormatting>
  <conditionalFormatting sqref="LU56">
    <cfRule type="duplicateValues" dxfId="1000" priority="57"/>
  </conditionalFormatting>
  <conditionalFormatting sqref="KZ56">
    <cfRule type="duplicateValues" dxfId="999" priority="56"/>
  </conditionalFormatting>
  <conditionalFormatting sqref="KE56">
    <cfRule type="duplicateValues" dxfId="998" priority="55"/>
  </conditionalFormatting>
  <conditionalFormatting sqref="JJ56">
    <cfRule type="duplicateValues" dxfId="997" priority="54"/>
  </conditionalFormatting>
  <conditionalFormatting sqref="IO56">
    <cfRule type="duplicateValues" dxfId="996" priority="53"/>
  </conditionalFormatting>
  <conditionalFormatting sqref="HT56">
    <cfRule type="duplicateValues" dxfId="995" priority="52"/>
  </conditionalFormatting>
  <conditionalFormatting sqref="GY56">
    <cfRule type="duplicateValues" dxfId="994" priority="51"/>
  </conditionalFormatting>
  <conditionalFormatting sqref="AC71">
    <cfRule type="duplicateValues" dxfId="993" priority="50"/>
  </conditionalFormatting>
  <conditionalFormatting sqref="T74:AC74">
    <cfRule type="duplicateValues" dxfId="992" priority="49"/>
  </conditionalFormatting>
  <conditionalFormatting sqref="T75:AC75">
    <cfRule type="duplicateValues" dxfId="991" priority="48"/>
  </conditionalFormatting>
  <conditionalFormatting sqref="T76:AB76">
    <cfRule type="duplicateValues" dxfId="990" priority="47"/>
  </conditionalFormatting>
  <conditionalFormatting sqref="AC76">
    <cfRule type="duplicateValues" dxfId="989" priority="46"/>
  </conditionalFormatting>
  <conditionalFormatting sqref="AC77">
    <cfRule type="duplicateValues" dxfId="988" priority="45"/>
  </conditionalFormatting>
  <conditionalFormatting sqref="T77:AB77">
    <cfRule type="duplicateValues" dxfId="987" priority="44"/>
  </conditionalFormatting>
  <conditionalFormatting sqref="T73:AB73">
    <cfRule type="duplicateValues" dxfId="986" priority="43"/>
  </conditionalFormatting>
  <conditionalFormatting sqref="AC73">
    <cfRule type="duplicateValues" dxfId="985" priority="42"/>
  </conditionalFormatting>
  <conditionalFormatting sqref="T79:AB79">
    <cfRule type="duplicateValues" dxfId="984" priority="41"/>
  </conditionalFormatting>
  <conditionalFormatting sqref="AD79:AL79">
    <cfRule type="duplicateValues" dxfId="983" priority="40"/>
  </conditionalFormatting>
  <conditionalFormatting sqref="T81:AB81">
    <cfRule type="duplicateValues" dxfId="982" priority="34"/>
  </conditionalFormatting>
  <conditionalFormatting sqref="T82:AB82">
    <cfRule type="duplicateValues" dxfId="981" priority="38"/>
  </conditionalFormatting>
  <conditionalFormatting sqref="T83:AB83">
    <cfRule type="duplicateValues" dxfId="980" priority="33"/>
  </conditionalFormatting>
  <conditionalFormatting sqref="T84:AB84">
    <cfRule type="duplicateValues" dxfId="979" priority="32"/>
  </conditionalFormatting>
  <conditionalFormatting sqref="U85:AB85">
    <cfRule type="duplicateValues" dxfId="978" priority="31"/>
  </conditionalFormatting>
  <conditionalFormatting sqref="T85">
    <cfRule type="duplicateValues" dxfId="977" priority="30"/>
  </conditionalFormatting>
  <conditionalFormatting sqref="T86:AB86">
    <cfRule type="duplicateValues" dxfId="976" priority="29"/>
  </conditionalFormatting>
  <conditionalFormatting sqref="T87:AB87">
    <cfRule type="duplicateValues" dxfId="975" priority="28"/>
  </conditionalFormatting>
  <conditionalFormatting sqref="T88:AB88">
    <cfRule type="duplicateValues" dxfId="974" priority="27"/>
  </conditionalFormatting>
  <conditionalFormatting sqref="T89:AB89">
    <cfRule type="duplicateValues" dxfId="973" priority="26"/>
  </conditionalFormatting>
  <conditionalFormatting sqref="T90:AB90">
    <cfRule type="duplicateValues" dxfId="972" priority="25"/>
  </conditionalFormatting>
  <conditionalFormatting sqref="T92:AB92">
    <cfRule type="duplicateValues" dxfId="971" priority="24"/>
  </conditionalFormatting>
  <conditionalFormatting sqref="T91:AB91">
    <cfRule type="duplicateValues" dxfId="970" priority="39"/>
  </conditionalFormatting>
  <conditionalFormatting sqref="T93:AB93">
    <cfRule type="duplicateValues" dxfId="969" priority="23"/>
  </conditionalFormatting>
  <conditionalFormatting sqref="AC81">
    <cfRule type="duplicateValues" dxfId="968" priority="19"/>
  </conditionalFormatting>
  <conditionalFormatting sqref="AC83">
    <cfRule type="duplicateValues" dxfId="967" priority="18"/>
  </conditionalFormatting>
  <conditionalFormatting sqref="AC84">
    <cfRule type="duplicateValues" dxfId="966" priority="17"/>
  </conditionalFormatting>
  <conditionalFormatting sqref="AC82">
    <cfRule type="duplicateValues" dxfId="965" priority="16"/>
  </conditionalFormatting>
  <conditionalFormatting sqref="AC85">
    <cfRule type="duplicateValues" dxfId="964" priority="14"/>
  </conditionalFormatting>
  <conditionalFormatting sqref="AC86">
    <cfRule type="duplicateValues" dxfId="963" priority="13"/>
  </conditionalFormatting>
  <conditionalFormatting sqref="AC87">
    <cfRule type="duplicateValues" dxfId="962" priority="12"/>
  </conditionalFormatting>
  <conditionalFormatting sqref="AC88">
    <cfRule type="duplicateValues" dxfId="961" priority="11"/>
  </conditionalFormatting>
  <conditionalFormatting sqref="AC89">
    <cfRule type="duplicateValues" dxfId="960" priority="10"/>
  </conditionalFormatting>
  <conditionalFormatting sqref="AC90">
    <cfRule type="duplicateValues" dxfId="959" priority="9"/>
  </conditionalFormatting>
  <conditionalFormatting sqref="AC92">
    <cfRule type="duplicateValues" dxfId="958" priority="8"/>
  </conditionalFormatting>
  <conditionalFormatting sqref="AC91">
    <cfRule type="duplicateValues" dxfId="957" priority="15"/>
  </conditionalFormatting>
  <conditionalFormatting sqref="AC93">
    <cfRule type="duplicateValues" dxfId="956" priority="7"/>
  </conditionalFormatting>
  <conditionalFormatting sqref="T100:AB100">
    <cfRule type="duplicateValues" dxfId="955" priority="6"/>
  </conditionalFormatting>
  <conditionalFormatting sqref="AD100:AG100">
    <cfRule type="duplicateValues" dxfId="954" priority="5"/>
  </conditionalFormatting>
  <conditionalFormatting sqref="AH100:AL100">
    <cfRule type="duplicateValues" dxfId="953" priority="4"/>
  </conditionalFormatting>
  <conditionalFormatting sqref="AM100">
    <cfRule type="duplicateValues" dxfId="952" priority="3"/>
  </conditionalFormatting>
  <conditionalFormatting sqref="AC100">
    <cfRule type="duplicateValues" dxfId="951" priority="2"/>
  </conditionalFormatting>
  <conditionalFormatting sqref="AC52:AC54">
    <cfRule type="duplicateValues" dxfId="950" priority="1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7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8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9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0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1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2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3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4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388620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5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6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17" name="Option Button 2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19" name="Option Button 27">
              <controlPr defaultSize="0" autoFill="0" autoLine="0" autoPict="0" altText="">
                <anchor moveWithCells="1">
                  <from>
                    <xdr:col>12</xdr:col>
                    <xdr:colOff>106680</xdr:colOff>
                    <xdr:row>14</xdr:row>
                    <xdr:rowOff>114300</xdr:rowOff>
                  </from>
                  <to>
                    <xdr:col>12</xdr:col>
                    <xdr:colOff>144780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6" r:id="rId20" name="Option Button 2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7" r:id="rId21" name="Option Button 29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8" r:id="rId22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2" r:id="rId23" name="Group Box 34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3" r:id="rId24" name="Option Button 35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4" r:id="rId25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9" id="{95CB1E38-AD11-45EF-A335-1B12662BC724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698" id="{85882960-12D4-481E-BDCC-A263A43E862F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697" id="{73772E87-E23C-426C-BB28-E5F990997E35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690" id="{D9936DED-693B-4573-8515-4E667D8BBD0A}">
            <xm:f>$I$99=Formeln!$A$1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I99:K99</xm:sqref>
        </x14:conditionalFormatting>
        <x14:conditionalFormatting xmlns:xm="http://schemas.microsoft.com/office/excel/2006/main">
          <x14:cfRule type="expression" priority="689" id="{64FD6D0C-1AED-4835-94D1-1FD4838DEAA2}">
            <xm:f>$I$100=Formeln!$A$1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I100</xm:sqref>
        </x14:conditionalFormatting>
        <x14:conditionalFormatting xmlns:xm="http://schemas.microsoft.com/office/excel/2006/main">
          <x14:cfRule type="expression" priority="687" id="{D2225997-6DDF-46CA-BCA7-D227C8F75BC5}">
            <xm:f>$K$100=Formeln!$A$1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K100</xm:sqref>
        </x14:conditionalFormatting>
        <x14:conditionalFormatting xmlns:xm="http://schemas.microsoft.com/office/excel/2006/main">
          <x14:cfRule type="expression" priority="451" id="{BFC165A3-0F05-4A4D-84C1-B0036427318B}">
            <xm:f>$H$49=Formeln!$A$1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H49:K49</xm:sqref>
        </x14:conditionalFormatting>
        <x14:conditionalFormatting xmlns:xm="http://schemas.microsoft.com/office/excel/2006/main">
          <x14:cfRule type="expression" priority="450" id="{DF88B47E-44CD-41DA-8C90-BE5EB4D4A94F}">
            <xm:f>$H$50=Formeln!$A$1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H50:K50</xm:sqref>
        </x14:conditionalFormatting>
        <x14:conditionalFormatting xmlns:xm="http://schemas.microsoft.com/office/excel/2006/main">
          <x14:cfRule type="expression" priority="229" id="{0690E6CE-44EA-4025-8B49-7AC6146046F1}">
            <xm:f>$J56=Formeln!$A$1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J56:K56</xm:sqref>
        </x14:conditionalFormatting>
        <x14:conditionalFormatting xmlns:xm="http://schemas.microsoft.com/office/excel/2006/main">
          <x14:cfRule type="expression" priority="228" id="{6C015232-1B53-45BF-82D7-15A48680344C}">
            <xm:f>$J57=Formeln!$A$1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J57:K57</xm:sqref>
        </x14:conditionalFormatting>
        <x14:conditionalFormatting xmlns:xm="http://schemas.microsoft.com/office/excel/2006/main">
          <x14:cfRule type="expression" priority="227" id="{1CBD7FD3-483D-40E0-A399-13CE1E72331D}">
            <xm:f>$J58=Formeln!$A$1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J58:K58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600-000000000000}">
          <x14:formula1>
            <xm:f>Formeln!$A$27:$A$48</xm:f>
          </x14:formula1>
          <xm:sqref>J56:K56</xm:sqref>
        </x14:dataValidation>
        <x14:dataValidation type="list" allowBlank="1" showInputMessage="1" showErrorMessage="1" xr:uid="{00000000-0002-0000-0600-000001000000}">
          <x14:formula1>
            <xm:f>Formeln!$A$20:$A$22</xm:f>
          </x14:formula1>
          <xm:sqref>I100</xm:sqref>
        </x14:dataValidation>
        <x14:dataValidation type="list" allowBlank="1" showInputMessage="1" showErrorMessage="1" xr:uid="{00000000-0002-0000-0600-000002000000}">
          <x14:formula1>
            <xm:f>Formeln!$A$17:$A$19</xm:f>
          </x14:formula1>
          <xm:sqref>H50:K50</xm:sqref>
        </x14:dataValidation>
        <x14:dataValidation type="list" allowBlank="1" showInputMessage="1" showErrorMessage="1" xr:uid="{00000000-0002-0000-0600-000003000000}">
          <x14:formula1>
            <xm:f>Formeln!$A$14:$A$16</xm:f>
          </x14:formula1>
          <xm:sqref>H49:K49</xm:sqref>
        </x14:dataValidation>
        <x14:dataValidation type="list" allowBlank="1" showInputMessage="1" showErrorMessage="1" xr:uid="{00000000-0002-0000-0600-000004000000}">
          <x14:formula1>
            <xm:f>Formeln!$A$9:$A$12</xm:f>
          </x14:formula1>
          <xm:sqref>H39:K39</xm:sqref>
        </x14:dataValidation>
        <x14:dataValidation type="list" allowBlank="1" showInputMessage="1" showErrorMessage="1" xr:uid="{00000000-0002-0000-0600-000005000000}">
          <x14:formula1>
            <xm:f>Formeln!$A$5:$A$8</xm:f>
          </x14:formula1>
          <xm:sqref>H37:K37</xm:sqref>
        </x14:dataValidation>
        <x14:dataValidation type="list" allowBlank="1" showInputMessage="1" showErrorMessage="1" xr:uid="{00000000-0002-0000-0600-000006000000}">
          <x14:formula1>
            <xm:f>Formeln!$A$1:$A$4</xm:f>
          </x14:formula1>
          <xm:sqref>H36:K36</xm:sqref>
        </x14:dataValidation>
        <x14:dataValidation type="list" allowBlank="1" showInputMessage="1" showErrorMessage="1" xr:uid="{00000000-0002-0000-0600-000007000000}">
          <x14:formula1>
            <xm:f>Formeln!$A$103:$A$108</xm:f>
          </x14:formula1>
          <xm:sqref>I99:K99</xm:sqref>
        </x14:dataValidation>
        <x14:dataValidation type="list" allowBlank="1" showInputMessage="1" showErrorMessage="1" xr:uid="{00000000-0002-0000-0600-000008000000}">
          <x14:formula1>
            <xm:f>Formeln!$A$49:$A$100</xm:f>
          </x14:formula1>
          <xm:sqref>J57:K57</xm:sqref>
        </x14:dataValidation>
        <x14:dataValidation type="list" allowBlank="1" showInputMessage="1" showErrorMessage="1" xr:uid="{00000000-0002-0000-0600-000009000000}">
          <x14:formula1>
            <xm:f>Formeln!$C$49:$C$108</xm:f>
          </x14:formula1>
          <xm:sqref>J58:K58</xm:sqref>
        </x14:dataValidation>
        <x14:dataValidation type="list" allowBlank="1" showInputMessage="1" showErrorMessage="1" xr:uid="{00000000-0002-0000-0600-00000A000000}">
          <x14:formula1>
            <xm:f>Formeln!$A$124:$A$134</xm:f>
          </x14:formula1>
          <xm:sqref>K100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0"/>
  <dimension ref="A1:QR120"/>
  <sheetViews>
    <sheetView showGridLines="0" showZeros="0" workbookViewId="0">
      <selection activeCell="C9" sqref="C9:E9"/>
    </sheetView>
  </sheetViews>
  <sheetFormatPr baseColWidth="10" defaultColWidth="0" defaultRowHeight="0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20" width="18.88671875" style="1" hidden="1" customWidth="1"/>
    <col min="21" max="460" width="0" style="1" hidden="1" customWidth="1"/>
    <col min="461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VLOOKUP("DACHPANEL FX.12",Sprachindex!A:Z,Info!$O$6,FALSE)</f>
        <v>DACHPANEL FX.12</v>
      </c>
    </row>
    <row r="3" spans="1:17" ht="15" customHeight="1"/>
    <row r="4" spans="1:17" ht="17.25" customHeight="1">
      <c r="J4" s="107" t="str">
        <f>VLOOKUP("RETOURNIERUNG PER FAX:",Sprachindex!A:Z,Info!$O$6,FALSE)</f>
        <v>RETOURNIERUNG PER FAX:</v>
      </c>
      <c r="K4" s="254"/>
      <c r="L4" s="255"/>
      <c r="M4" s="256"/>
      <c r="Q4" s="3"/>
    </row>
    <row r="5" spans="1:17" ht="17.25" customHeight="1">
      <c r="J5" s="107" t="str">
        <f>VLOOKUP("ODER EMAIL:",Sprachindex!A:Z,Info!$O$6,FALSE)</f>
        <v>ODER EMAIL:</v>
      </c>
      <c r="K5" s="254"/>
      <c r="L5" s="255"/>
      <c r="M5" s="256"/>
      <c r="Q5" s="3"/>
    </row>
    <row r="6" spans="1:17" ht="17.25" customHeight="1">
      <c r="J6" s="107" t="str">
        <f>VLOOKUP("Datum:",Sprachindex!A:Z,Info!$O$6,FALSE)</f>
        <v>Datum:</v>
      </c>
      <c r="K6" s="254"/>
      <c r="L6" s="255"/>
      <c r="M6" s="256"/>
      <c r="N6" s="54">
        <v>0</v>
      </c>
      <c r="Q6" s="3"/>
    </row>
    <row r="7" spans="1:17" ht="17.25" customHeight="1">
      <c r="J7" s="107" t="str">
        <f>VLOOKUP("Bestellnummer:",Sprachindex!A:Z,Info!$O$6,FALSE)</f>
        <v>Bestellnummer:</v>
      </c>
      <c r="K7" s="254"/>
      <c r="L7" s="255"/>
      <c r="M7" s="256"/>
      <c r="N7" s="54"/>
      <c r="Q7" s="3"/>
    </row>
    <row r="8" spans="1:17" ht="17.25" customHeight="1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I9" s="112"/>
      <c r="J9" s="85"/>
      <c r="K9" s="86"/>
      <c r="L9" s="85" t="str">
        <f>VLOOKUP("glatt",Sprachindex!A:Z,Info!$O$6,FALSE)</f>
        <v>glatt</v>
      </c>
      <c r="M9" s="86"/>
      <c r="N9" s="55">
        <v>1</v>
      </c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55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54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6"/>
      <c r="J16" s="85" t="str">
        <f>VLOOKUP("07 P.10 hellgrau ",Sprachindex!A:Z,Info!$O$6,FALSE)</f>
        <v xml:space="preserve">07 P.10 hellgrau </v>
      </c>
      <c r="K16" s="86"/>
      <c r="L16" s="86"/>
      <c r="M16" s="86"/>
    </row>
    <row r="17" spans="1:3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6"/>
      <c r="J17" s="88" t="str">
        <f>VLOOKUP("11 P.10 nussbraun",Sprachindex!A:Z,Info!$O$6,FALSE)</f>
        <v>11 P.10 nussbraun</v>
      </c>
      <c r="K17" s="86"/>
      <c r="L17" s="86"/>
      <c r="M17" s="86"/>
      <c r="P17" s="10"/>
    </row>
    <row r="18" spans="1:39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6"/>
      <c r="J18" s="88" t="str">
        <f>VLOOKUP("19 P.10 dunkelgrau",Sprachindex!A:Z,Info!$O$6,FALSE)</f>
        <v>19 P.10 dunkelgrau</v>
      </c>
      <c r="K18" s="86"/>
      <c r="L18" s="86"/>
      <c r="M18" s="86"/>
      <c r="N18" s="14"/>
      <c r="Q18" s="4"/>
    </row>
    <row r="19" spans="1:39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6"/>
      <c r="J19" s="88" t="str">
        <f>VLOOKUP("43 P.10 steingrau",Sprachindex!A:Z,Info!$O$6,FALSE)</f>
        <v>43 P.10 steingrau</v>
      </c>
      <c r="K19" s="86"/>
      <c r="L19" s="86"/>
      <c r="M19" s="86"/>
      <c r="Q19" s="4"/>
    </row>
    <row r="20" spans="1:39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/>
      <c r="J20" s="88"/>
      <c r="K20" s="86"/>
      <c r="L20" s="87"/>
      <c r="M20" s="86"/>
      <c r="Q20" s="4"/>
      <c r="S20" s="36"/>
      <c r="T20" s="36"/>
    </row>
    <row r="21" spans="1:39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VLOOKUP("06 P.10 moosgrün",Sprachindex!A:Z,Info!$O$6,FALSE)</f>
        <v>06 P.10 moosgrün</v>
      </c>
      <c r="H21" s="86"/>
      <c r="I21" s="114"/>
      <c r="J21" s="115"/>
      <c r="K21" s="115"/>
      <c r="L21" s="86"/>
      <c r="M21" s="86"/>
      <c r="N21" s="54"/>
      <c r="Q21" s="4"/>
    </row>
    <row r="22" spans="1:39" ht="15" customHeight="1">
      <c r="A22" s="86"/>
      <c r="B22" s="90"/>
      <c r="C22" s="86"/>
      <c r="D22" s="86"/>
      <c r="E22" s="86"/>
      <c r="F22" s="86"/>
      <c r="G22" s="86"/>
      <c r="H22" s="86"/>
      <c r="I22" s="114"/>
      <c r="J22" s="115"/>
      <c r="K22" s="115"/>
      <c r="L22" s="86"/>
      <c r="M22" s="86"/>
      <c r="N22" s="54"/>
      <c r="Q22" s="4"/>
    </row>
    <row r="23" spans="1:39" s="5" customFormat="1" ht="15" customHeight="1">
      <c r="A23" s="106" t="str">
        <f>VLOOKUP("Projektdaten:",Sprachindex!A:Z,Info!$O$6,FALSE)</f>
        <v>Projektdaten:</v>
      </c>
      <c r="B23" s="90"/>
      <c r="C23" s="86"/>
      <c r="D23" s="86"/>
      <c r="E23" s="86"/>
      <c r="F23" s="86"/>
      <c r="G23" s="106" t="str">
        <f>VLOOKUP("techn. Ausarbeitung PREFA:",Sprachindex!A:Z,Info!$O$6,FALSE)</f>
        <v>techn. Ausarbeitung PREFA:</v>
      </c>
      <c r="H23" s="90"/>
      <c r="I23" s="86"/>
      <c r="J23" s="86"/>
      <c r="K23" s="86"/>
      <c r="L23" s="86"/>
      <c r="M23" s="86"/>
      <c r="N23" s="87"/>
      <c r="O23" s="56"/>
      <c r="P23" s="56"/>
      <c r="Q23" s="14"/>
    </row>
    <row r="24" spans="1:39" s="5" customFormat="1" ht="15" customHeight="1">
      <c r="A24" s="1"/>
      <c r="B24" s="283" t="str">
        <f>VLOOKUP("Beschreibung",Sprachindex!A:Z,Info!$O$6,FALSE)</f>
        <v>Beschreibung</v>
      </c>
      <c r="C24" s="254"/>
      <c r="D24" s="255"/>
      <c r="E24" s="256"/>
      <c r="F24" s="86"/>
      <c r="G24" s="106"/>
      <c r="H24" s="90" t="str">
        <f>VLOOKUP("Bearbeiter:",Sprachindex!A:Z,Info!$O$6,FALSE)</f>
        <v>Bearbeiter:</v>
      </c>
      <c r="I24" s="254"/>
      <c r="J24" s="255"/>
      <c r="K24" s="256"/>
      <c r="L24" s="86"/>
      <c r="M24" s="86"/>
      <c r="N24" s="87"/>
      <c r="O24" s="56"/>
      <c r="P24" s="56"/>
      <c r="Q24" s="14"/>
    </row>
    <row r="25" spans="1:39" s="5" customFormat="1" ht="15" customHeight="1">
      <c r="A25" s="1"/>
      <c r="B25" s="283"/>
      <c r="C25" s="254"/>
      <c r="D25" s="255"/>
      <c r="E25" s="256"/>
      <c r="F25" s="86"/>
      <c r="G25" s="106"/>
      <c r="H25" s="90" t="str">
        <f>VLOOKUP("Telefon:",Sprachindex!A:Z,Info!$O$6,FALSE)</f>
        <v>Telefon:</v>
      </c>
      <c r="I25" s="254"/>
      <c r="J25" s="255"/>
      <c r="K25" s="256"/>
      <c r="L25" s="86"/>
      <c r="M25" s="86"/>
      <c r="N25" s="87"/>
      <c r="O25" s="56"/>
      <c r="P25" s="56"/>
      <c r="Q25" s="14"/>
    </row>
    <row r="26" spans="1:39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VLOOKUP("eMail:",Sprachindex!A:Z,Info!$O$6,FALSE)</f>
        <v>eMail:</v>
      </c>
      <c r="I26" s="254"/>
      <c r="J26" s="255"/>
      <c r="K26" s="256"/>
      <c r="L26" s="86"/>
      <c r="M26" s="86"/>
      <c r="N26" s="87"/>
      <c r="O26" s="56"/>
      <c r="P26" s="56"/>
      <c r="Q26" s="14"/>
    </row>
    <row r="27" spans="1:39" s="5" customFormat="1" ht="15" customHeight="1">
      <c r="A27" s="1"/>
      <c r="B27" s="283"/>
      <c r="C27" s="254"/>
      <c r="D27" s="255"/>
      <c r="E27" s="256"/>
      <c r="F27" s="86"/>
      <c r="L27" s="86"/>
      <c r="M27" s="86"/>
      <c r="N27" s="87"/>
      <c r="O27" s="56"/>
      <c r="P27" s="56"/>
      <c r="Q27" s="14"/>
    </row>
    <row r="28" spans="1:39" ht="15" customHeight="1">
      <c r="A28" s="86"/>
      <c r="B28" s="90"/>
      <c r="C28" s="86"/>
      <c r="D28" s="86"/>
      <c r="E28" s="86"/>
      <c r="F28" s="86"/>
      <c r="G28" s="86"/>
      <c r="H28" s="86"/>
      <c r="I28" s="114"/>
      <c r="J28" s="86"/>
      <c r="K28" s="86"/>
      <c r="L28" s="86"/>
      <c r="M28" s="86"/>
      <c r="Q28" s="4"/>
    </row>
    <row r="29" spans="1:39" ht="15" customHeight="1" thickBot="1">
      <c r="A29" s="120" t="str">
        <f>VLOOKUP("Filter:",Sprachindex!A:Z,Info!$O$6,FALSE)</f>
        <v>Filter:</v>
      </c>
      <c r="B29" s="284"/>
      <c r="C29" s="284"/>
      <c r="D29" s="284"/>
      <c r="E29" s="284"/>
      <c r="F29" s="86"/>
      <c r="G29" s="86"/>
      <c r="H29" s="86"/>
      <c r="I29" s="86"/>
      <c r="J29" s="86"/>
      <c r="K29" s="86"/>
      <c r="L29" s="86"/>
      <c r="M29" s="86"/>
      <c r="P29" s="282" t="s">
        <v>24</v>
      </c>
      <c r="Q29" s="282"/>
    </row>
    <row r="30" spans="1:39" ht="35.1" customHeight="1" thickBot="1">
      <c r="A30" s="219" t="str">
        <f>VLOOKUP("Menge",Sprachindex!A:Z,Info!$O$6,FALSE)</f>
        <v>Menge</v>
      </c>
      <c r="B30" s="141" t="str">
        <f>VLOOKUP("Einheit",Sprachindex!A:Z,Info!$O$6,FALSE)</f>
        <v>Einheit</v>
      </c>
      <c r="C30" s="141" t="str">
        <f>VLOOKUP("Abbildung",Sprachindex!A:Z,Info!$O$6,FALSE)</f>
        <v>Abbildung</v>
      </c>
      <c r="D30" s="141" t="str">
        <f>VLOOKUP("Artikel Nr.",Sprachindex!A:Z,Info!$O$6,FALSE)</f>
        <v>Artikel Nr.</v>
      </c>
      <c r="E30" s="285" t="str">
        <f>VLOOKUP("Bezeichnung",Sprachindex!A:Z,Info!$O$6,FALSE)</f>
        <v>Bezeichnung</v>
      </c>
      <c r="F30" s="286"/>
      <c r="G30" s="286"/>
      <c r="H30" s="286"/>
      <c r="I30" s="286"/>
      <c r="J30" s="286"/>
      <c r="K30" s="287"/>
      <c r="L30" s="141" t="str">
        <f>VLOOKUP("Total",Sprachindex!A:Z,Info!$O$6,FALSE)</f>
        <v>Total</v>
      </c>
      <c r="M30" s="91" t="str">
        <f>VLOOKUP("Eventual",Sprachindex!A:Z,Info!$O$6,FALSE)</f>
        <v>Eventual</v>
      </c>
      <c r="O30" s="1"/>
      <c r="P30" s="212" t="s">
        <v>27</v>
      </c>
      <c r="Q30" s="218" t="s">
        <v>28</v>
      </c>
      <c r="T30" s="49" t="s">
        <v>29</v>
      </c>
      <c r="U30" s="49" t="s">
        <v>30</v>
      </c>
      <c r="V30" s="49" t="s">
        <v>31</v>
      </c>
      <c r="W30" s="49" t="s">
        <v>32</v>
      </c>
      <c r="X30" s="49" t="s">
        <v>33</v>
      </c>
      <c r="Y30" s="49" t="s">
        <v>34</v>
      </c>
      <c r="Z30" s="49" t="s">
        <v>35</v>
      </c>
      <c r="AA30" s="49" t="s">
        <v>36</v>
      </c>
      <c r="AB30" s="49" t="s">
        <v>37</v>
      </c>
      <c r="AC30" s="121" t="s">
        <v>38</v>
      </c>
      <c r="AD30" s="49" t="s">
        <v>29</v>
      </c>
      <c r="AE30" s="49" t="s">
        <v>30</v>
      </c>
      <c r="AF30" s="49" t="s">
        <v>31</v>
      </c>
      <c r="AG30" s="49" t="s">
        <v>32</v>
      </c>
      <c r="AH30" s="49" t="s">
        <v>33</v>
      </c>
      <c r="AI30" s="49" t="s">
        <v>34</v>
      </c>
      <c r="AJ30" s="49" t="s">
        <v>35</v>
      </c>
      <c r="AK30" s="49" t="s">
        <v>36</v>
      </c>
      <c r="AL30" s="49" t="s">
        <v>37</v>
      </c>
      <c r="AM30" s="121" t="s">
        <v>38</v>
      </c>
    </row>
    <row r="31" spans="1:39" ht="32.1" customHeight="1">
      <c r="A31" s="122"/>
      <c r="B31" s="93" t="str">
        <f>VLOOKUP("m²",Sprachindex!A:Z,Info!$O$6,FALSE)</f>
        <v>m²</v>
      </c>
      <c r="C31" s="123"/>
      <c r="D31" s="95">
        <f>IF($N$21=1,T31,IF($N$21=4,U31,IF($N$21=5,V31,IF($N$21=11,W31,IF($N$21=7,X31,IF($N$21=3,Y31,IF($N$21=6,Z31,IF($N$21=9,AA31,IF($N$21=2,AB31,IF($N$21=8,AC31,0))))))))))</f>
        <v>0</v>
      </c>
      <c r="E31" s="293" t="str">
        <f>VLOOKUP("Paneel FX.12, groß, 1400x420mm",Sprachindex!A:Z,Info!$O$6,FALSE)</f>
        <v>Paneel FX.12, groß, 1400x420mm</v>
      </c>
      <c r="F31" s="294"/>
      <c r="G31" s="294"/>
      <c r="H31" s="294"/>
      <c r="I31" s="294"/>
      <c r="J31" s="294"/>
      <c r="K31" s="295"/>
      <c r="L31" s="93" t="str">
        <f t="shared" ref="L31:L93" si="0">IF(A31=0,"",IF($N$11=1,P31,Q31))</f>
        <v/>
      </c>
      <c r="M31" s="125"/>
      <c r="O31" s="1"/>
      <c r="P31" s="213" t="str">
        <f>ROUNDUP($A31/11.76,0)*11.76&amp;" " &amp; Formeln!$A$110 &amp; "                     "  &amp; "(="&amp; ROUNDUP(ROUNDUP($A31/11.76,0)*11.76*1.7,0)&amp; " " &amp; Formeln!$A$111 &amp; ")"</f>
        <v>0 m²                     (=0 STK)</v>
      </c>
      <c r="Q31" s="214" t="str">
        <f>ROUNDUP($A31/1,0)*1 &amp;" " &amp; Formeln!$A$110 &amp; "                          (="&amp; ROUNDUP(ROUNDUP($A31,0)*1.7,0)&amp;" " &amp; Formeln!$A$111 &amp; ")"</f>
        <v>0 m²                          (=0 STK)</v>
      </c>
      <c r="T31" s="46">
        <v>120600</v>
      </c>
      <c r="U31" s="46">
        <v>120601</v>
      </c>
      <c r="V31" s="46">
        <v>120602</v>
      </c>
      <c r="W31" s="46">
        <v>120603</v>
      </c>
      <c r="X31" s="46">
        <v>120604</v>
      </c>
      <c r="Y31" s="46">
        <v>120607</v>
      </c>
      <c r="Z31" s="46">
        <v>120608</v>
      </c>
      <c r="AA31" s="46">
        <v>120609</v>
      </c>
      <c r="AB31" s="46">
        <v>120610</v>
      </c>
      <c r="AC31" s="46">
        <v>120611</v>
      </c>
    </row>
    <row r="32" spans="1:39" ht="32.1" customHeight="1">
      <c r="A32" s="118"/>
      <c r="B32" s="96" t="str">
        <f>VLOOKUP("m²",Sprachindex!A:Z,Info!$O$6,FALSE)</f>
        <v>m²</v>
      </c>
      <c r="C32" s="95"/>
      <c r="D32" s="95">
        <f>IF($N$21=1,T32,IF($N$21=4,U32,IF($N$21=5,V32,IF($N$21=11,W32,IF($N$21=7,X32,IF($N$21=3,Y32,IF($N$21=6,Z32,IF($N$21=9,AA32,IF($N$21=2,AB32,IF($N$21=8,AC32,0))))))))))</f>
        <v>0</v>
      </c>
      <c r="E32" s="250" t="str">
        <f>VLOOKUP("Paneel FX.12, klein, 700x420mm",Sprachindex!A:Z,Info!$O$6,FALSE)</f>
        <v>Paneel FX.12, klein, 700x420mm</v>
      </c>
      <c r="F32" s="251"/>
      <c r="G32" s="251"/>
      <c r="H32" s="251"/>
      <c r="I32" s="251"/>
      <c r="J32" s="251"/>
      <c r="K32" s="257"/>
      <c r="L32" s="96" t="str">
        <f t="shared" si="0"/>
        <v/>
      </c>
      <c r="M32" s="97"/>
      <c r="O32" s="1"/>
      <c r="P32" s="189" t="str">
        <f>ROUNDUP($A32/8.23,0)*8.23&amp;" " &amp; Formeln!$A$110 &amp; "                     "  &amp; "(="&amp; ROUNDUP(ROUNDUP($A32/8.23,0)*8.23*3.4,0)&amp; " " &amp; Formeln!$A$111 &amp; ")"</f>
        <v>0 m²                     (=0 STK)</v>
      </c>
      <c r="Q32" s="188" t="str">
        <f>ROUNDUP($A32/1,0)*1 &amp;" " &amp; Formeln!$A$110 &amp; "                          (="&amp; ROUNDUP(ROUNDUP($A32,0)*3.4,0)&amp;" " &amp; Formeln!$A$111 &amp; ")"</f>
        <v>0 m²                          (=0 STK)</v>
      </c>
      <c r="T32" s="46">
        <v>120620</v>
      </c>
      <c r="U32" s="46">
        <v>120621</v>
      </c>
      <c r="V32" s="46">
        <v>120622</v>
      </c>
      <c r="W32" s="46">
        <v>120623</v>
      </c>
      <c r="X32" s="46">
        <v>120624</v>
      </c>
      <c r="Y32" s="46">
        <v>120627</v>
      </c>
      <c r="Z32" s="46">
        <v>120628</v>
      </c>
      <c r="AA32" s="46">
        <v>120629</v>
      </c>
      <c r="AB32" s="46">
        <v>120619</v>
      </c>
      <c r="AC32" s="46">
        <v>120618</v>
      </c>
    </row>
    <row r="33" spans="1:39" ht="32.1" customHeight="1">
      <c r="A33" s="118"/>
      <c r="B33" s="96" t="str">
        <f>VLOOKUP("lfm",Sprachindex!A:Z,Info!$O$6,FALSE)</f>
        <v>lfm</v>
      </c>
      <c r="C33" s="95"/>
      <c r="D33" s="99">
        <v>562005</v>
      </c>
      <c r="E33" s="250" t="str">
        <f>VLOOKUP("Saumstreifen 1x158x1800mm ",Sprachindex!A:Z,Info!$O$6,FALSE)</f>
        <v xml:space="preserve">Saumstreifen 1x158x1800mm </v>
      </c>
      <c r="F33" s="251"/>
      <c r="G33" s="251"/>
      <c r="H33" s="251"/>
      <c r="I33" s="251"/>
      <c r="J33" s="251"/>
      <c r="K33" s="257"/>
      <c r="L33" s="96" t="str">
        <f t="shared" si="0"/>
        <v/>
      </c>
      <c r="M33" s="97"/>
      <c r="O33" s="1"/>
      <c r="P33" s="189" t="str">
        <f>ROUNDUP($A33/1.8,0)*1.8 &amp; " " &amp; Formeln!$A$112 &amp; "                     " &amp; "(="&amp;ROUNDUP($A33/1.8,0)&amp; " " &amp; Formeln!$A$111 &amp; ")"</f>
        <v>0 lfm                     (=0 STK)</v>
      </c>
      <c r="Q33" s="189" t="str">
        <f>ROUNDUP($A33/1.8,0)*1.8 &amp; " " &amp; Formeln!$A$112 &amp; "                     " &amp; "(="&amp;ROUNDUP($A33/1.8,0) &amp;" " &amp; Formeln!$A$111 &amp; ")"</f>
        <v>0 lfm                     (=0 STK)</v>
      </c>
    </row>
    <row r="34" spans="1:39" ht="32.1" customHeight="1">
      <c r="A34" s="118"/>
      <c r="B34" s="96" t="str">
        <f>VLOOKUP("kg",Sprachindex!A:Z,Info!$O$6,FALSE)</f>
        <v>kg</v>
      </c>
      <c r="C34" s="95"/>
      <c r="D34" s="95">
        <f>IF(H34=Formeln!A2,340392,IF(H34=Formeln!A3,340394,IF(H34=Formeln!A4,341392,0)))</f>
        <v>0</v>
      </c>
      <c r="E34" s="250" t="str">
        <f>VLOOKUP("Rillennägel, verzinkt",Sprachindex!A:Z,Info!$O$6,FALSE)</f>
        <v>Rillennägel, verzinkt</v>
      </c>
      <c r="F34" s="251"/>
      <c r="G34" s="251"/>
      <c r="H34" s="252"/>
      <c r="I34" s="267"/>
      <c r="J34" s="267"/>
      <c r="K34" s="253"/>
      <c r="L34" s="96" t="str">
        <f>IF(A34=0,"",IF(H34=Formeln!$A$1,"",IF($N$11=1,P34,Q34)))</f>
        <v/>
      </c>
      <c r="M34" s="97"/>
      <c r="O34" s="1"/>
      <c r="P34" s="190" t="str">
        <f>IF(OR($H34=Formeln!$A$2,$H34=Formeln!$A$3),ROUNDUP($A34/2.5,0)*2.5&amp;" "&amp;Formeln!$A$114&amp;"                  "&amp;"(="&amp;ROUNDUP($A34/2.5,0)*2.5*$R34&amp;" "&amp;Formeln!$A$111&amp;")",ROUNDUP($A34/2,0)*2&amp;" "&amp;Formeln!$A$114&amp;"                  "&amp;"(="&amp;ROUNDUP($A34/2,0)*2*$R34&amp;" "&amp;Formeln!$A$111&amp;"")</f>
        <v>0 kg                  (=0 STK</v>
      </c>
      <c r="Q34" s="190" t="str">
        <f>ROUNDUP($A34,2) &amp; " " &amp; Formeln!$A$114 &amp; "                     " &amp; "(="&amp;ROUNDUP($A34/0.5,1)*0.5*$R34 &amp;" " &amp; Formeln!$A$111 &amp; ")"</f>
        <v>0 kg                     (=0 STK)</v>
      </c>
      <c r="R34" s="6">
        <f>IF(H34=Formeln!A2,570,IF(H34=Formeln!A3,480,IF(H34=Formeln!A4,380,0)))</f>
        <v>0</v>
      </c>
    </row>
    <row r="35" spans="1:39" ht="32.1" customHeight="1">
      <c r="A35" s="118"/>
      <c r="B35" s="96" t="str">
        <f>VLOOKUP("Karton",Sprachindex!A:Z,Info!$O$6,FALSE)</f>
        <v>Karton</v>
      </c>
      <c r="C35" s="95"/>
      <c r="D35" s="95">
        <f>IF(H35=Formeln!A6,341395,IF(H35=Formeln!A7,341396,IF(H35=Formeln!A8,341398,0)))</f>
        <v>0</v>
      </c>
      <c r="E35" s="250" t="str">
        <f>VLOOKUP("Rillennägel gebunden",Sprachindex!A:Z,Info!$O$6,FALSE)</f>
        <v>Rillennägel gebunden</v>
      </c>
      <c r="F35" s="251"/>
      <c r="G35" s="251"/>
      <c r="H35" s="252"/>
      <c r="I35" s="267"/>
      <c r="J35" s="267"/>
      <c r="K35" s="253"/>
      <c r="L35" s="183" t="str">
        <f>IF($A35=0,"",IF($H35=Formeln!$A$5,"",IF($N$11=1,P35,Q35)))</f>
        <v/>
      </c>
      <c r="M35" s="97"/>
      <c r="O35" s="1"/>
      <c r="P35" s="190" t="str">
        <f>ROUNDUP($A35/$R35,0)*$R35 &amp; " " &amp; Formeln!$A$111 &amp; "        " &amp; "(="&amp; ROUNDUP($A35/$R35,0) &amp;" " &amp; Formeln!$A$113 &amp; ")"</f>
        <v>0 STK        (=0 Karton)</v>
      </c>
      <c r="Q35" s="191" t="str">
        <f>$A35&amp;" "&amp;Formeln!$A$111&amp;"                     " &amp; "(="&amp;ROUNDUP($A35/$R35,2)&amp;" "&amp;Formeln!$A$113&amp;")"</f>
        <v xml:space="preserve"> STK                     (=0 Karton)</v>
      </c>
      <c r="R35" s="6">
        <f>IF(H35=Formeln!A7,2400,3200)</f>
        <v>3200</v>
      </c>
    </row>
    <row r="36" spans="1:39" ht="32.1" customHeight="1">
      <c r="A36" s="118"/>
      <c r="B36" s="96" t="str">
        <f>VLOOKUP("lfm",Sprachindex!A:Z,Info!$O$6,FALSE)</f>
        <v>lfm</v>
      </c>
      <c r="C36" s="95"/>
      <c r="D36" s="95">
        <f>IF($N$21=1,T36,IF($N$21=4,U36,IF($N$21=5,V36,IF($N$21=11,W36,IF($N$21=7,X36,IF($N$21=3,Y36,IF($N$21=6,Z36,IF($N$21=9,AA36,IF($N$21=2,AB36,IF($N$21=8,AC36,0))))))))))</f>
        <v>0</v>
      </c>
      <c r="E36" s="250" t="str">
        <f>VLOOKUP("Einlaufblech",Sprachindex!A:Z,Info!$O$6,FALSE)</f>
        <v>Einlaufblech</v>
      </c>
      <c r="F36" s="251"/>
      <c r="G36" s="251"/>
      <c r="H36" s="251"/>
      <c r="I36" s="251"/>
      <c r="J36" s="251"/>
      <c r="K36" s="257"/>
      <c r="L36" s="96" t="str">
        <f>IF(A36=0,"",IF($N$11=1,P36,Q36))</f>
        <v/>
      </c>
      <c r="M36" s="97"/>
      <c r="O36" s="1"/>
      <c r="P36" s="191" t="str">
        <f>ROUNDUP($A36/2,0)*2 &amp;" " &amp; Formeln!$A$112 &amp; "                " &amp; "(="&amp;ROUNDUP($A36/2,0) &amp; " " &amp;Formeln!$A$111 &amp; ")"</f>
        <v>0 lfm                (=0 STK)</v>
      </c>
      <c r="Q36" s="191" t="str">
        <f>ROUNDUP($A36/2,0)*2 &amp;" " &amp; Formeln!$A$112 &amp; "                " &amp; "(="&amp;ROUNDUP($A36/2,0) &amp; " " &amp;Formeln!$A$111 &amp; ")"</f>
        <v>0 lfm                (=0 STK)</v>
      </c>
      <c r="T36" s="46">
        <v>563004</v>
      </c>
      <c r="U36" s="46">
        <v>563006</v>
      </c>
      <c r="V36" s="46">
        <v>563001</v>
      </c>
      <c r="W36" s="46">
        <v>563005</v>
      </c>
      <c r="Y36" s="46">
        <v>563007</v>
      </c>
      <c r="Z36" s="46">
        <v>563016</v>
      </c>
      <c r="AA36" s="46">
        <v>563011</v>
      </c>
      <c r="AB36" s="46">
        <v>563017</v>
      </c>
      <c r="AC36" s="46"/>
    </row>
    <row r="37" spans="1:39" ht="32.1" customHeight="1">
      <c r="A37" s="118"/>
      <c r="B37" s="96" t="str">
        <f>VLOOKUP("lfm",Sprachindex!A:Z,Info!$O$6,FALSE)</f>
        <v>lfm</v>
      </c>
      <c r="C37" s="99"/>
      <c r="D37" s="99" t="str">
        <f>IF(H37=Formeln!A10,507400,IF(H37=Formeln!A11,507402,IF(H37=Formeln!A12,507411,IF(H37=Formeln!A13,"",0))))</f>
        <v/>
      </c>
      <c r="E37" s="250" t="str">
        <f>VLOOKUP("Lüftungsband",Sprachindex!A:Z,Info!$O$6,FALSE)</f>
        <v>Lüftungsband</v>
      </c>
      <c r="F37" s="251"/>
      <c r="G37" s="251"/>
      <c r="H37" s="252"/>
      <c r="I37" s="267"/>
      <c r="J37" s="267"/>
      <c r="K37" s="253"/>
      <c r="L37" s="96" t="str">
        <f>IF($H37=Formeln!$A$9," ",IF(A37=0,"",IF($N$11=1,P37,Q37)))</f>
        <v xml:space="preserve"> </v>
      </c>
      <c r="M37" s="97"/>
      <c r="O37" s="1"/>
      <c r="P37" s="191" t="str">
        <f>ROUNDUP($A37/40,0)*40 &amp;" " &amp; Formeln!$A$112</f>
        <v>0 lfm</v>
      </c>
      <c r="Q37" s="191" t="str">
        <f>$A37 &amp;" " &amp; Formeln!$A$112</f>
        <v xml:space="preserve"> lfm</v>
      </c>
      <c r="T37" s="47" t="s">
        <v>25</v>
      </c>
      <c r="U37" s="13"/>
      <c r="V37" s="13"/>
      <c r="W37" s="13"/>
      <c r="X37" s="13"/>
      <c r="Y37" s="13"/>
      <c r="Z37" s="13"/>
      <c r="AA37" s="13"/>
      <c r="AB37" s="13"/>
      <c r="AC37" s="13"/>
      <c r="AD37" s="47" t="s">
        <v>26</v>
      </c>
      <c r="AE37" s="13"/>
      <c r="AF37" s="13"/>
      <c r="AG37" s="13"/>
      <c r="AH37" s="13"/>
      <c r="AI37" s="13"/>
      <c r="AJ37" s="13"/>
      <c r="AK37" s="13"/>
      <c r="AL37" s="13"/>
      <c r="AM37" s="48"/>
    </row>
    <row r="38" spans="1:39" ht="32.1" customHeight="1">
      <c r="A38" s="118"/>
      <c r="B38" s="96" t="str">
        <f>VLOOKUP("lfm",Sprachindex!A:Z,Info!$O$6,FALSE)</f>
        <v>lfm</v>
      </c>
      <c r="C38" s="95"/>
      <c r="D38" s="95">
        <v>507300</v>
      </c>
      <c r="E38" s="250" t="str">
        <f>VLOOKUP("Vogelschutzgitter, Lochbreite 5mm, 0,70x125x2000mm, braun/anthrazit",Sprachindex!A:Z,Info!$O$6,FALSE)</f>
        <v>Vogelschutzgitter, Lochbreite 5mm, 0,70x125x2000mm, braun/anthrazit</v>
      </c>
      <c r="F38" s="251"/>
      <c r="G38" s="251"/>
      <c r="H38" s="251"/>
      <c r="I38" s="251"/>
      <c r="J38" s="251"/>
      <c r="K38" s="257"/>
      <c r="L38" s="96" t="str">
        <f>IF(A38=0,"",IF($N$11=1,P38,Q38))</f>
        <v/>
      </c>
      <c r="M38" s="97"/>
      <c r="O38" s="1"/>
      <c r="P38" s="191" t="str">
        <f>ROUNDUP($A38/2,0)*2 &amp;" " &amp; Formeln!$A$112 &amp; "                " &amp; "(="&amp;ROUNDUP($A38/2,0) &amp; " " &amp;Formeln!$A$111 &amp; ")"</f>
        <v>0 lfm                (=0 STK)</v>
      </c>
      <c r="Q38" s="191" t="str">
        <f>ROUNDUP($A38/2,0)*2 &amp;" " &amp; Formeln!$A$112 &amp; "                " &amp; "(="&amp;ROUNDUP($A38/2,0) &amp; " " &amp;Formeln!$A$111 &amp; ")"</f>
        <v>0 lfm                (=0 STK)</v>
      </c>
      <c r="T38" s="49" t="s">
        <v>29</v>
      </c>
      <c r="U38" s="49" t="s">
        <v>30</v>
      </c>
      <c r="V38" s="49" t="s">
        <v>31</v>
      </c>
      <c r="W38" s="49" t="s">
        <v>32</v>
      </c>
      <c r="X38" s="49" t="s">
        <v>33</v>
      </c>
      <c r="Y38" s="49" t="s">
        <v>34</v>
      </c>
      <c r="Z38" s="49" t="s">
        <v>35</v>
      </c>
      <c r="AA38" s="49" t="s">
        <v>36</v>
      </c>
      <c r="AB38" s="49" t="s">
        <v>37</v>
      </c>
      <c r="AC38" s="49" t="s">
        <v>38</v>
      </c>
      <c r="AD38" s="49" t="s">
        <v>29</v>
      </c>
      <c r="AE38" s="49" t="s">
        <v>30</v>
      </c>
      <c r="AF38" s="49" t="s">
        <v>31</v>
      </c>
      <c r="AG38" s="49" t="s">
        <v>32</v>
      </c>
      <c r="AH38" s="49" t="s">
        <v>33</v>
      </c>
      <c r="AI38" s="49" t="s">
        <v>34</v>
      </c>
      <c r="AJ38" s="49" t="s">
        <v>35</v>
      </c>
      <c r="AK38" s="49" t="s">
        <v>36</v>
      </c>
      <c r="AL38" s="49" t="s">
        <v>37</v>
      </c>
      <c r="AM38" s="49" t="s">
        <v>38</v>
      </c>
    </row>
    <row r="39" spans="1:39" ht="32.1" customHeight="1">
      <c r="A39" s="118"/>
      <c r="B39" s="96" t="str">
        <f>VLOOKUP("lfm",Sprachindex!A:Z,Info!$O$6,FALSE)</f>
        <v>lfm</v>
      </c>
      <c r="C39" s="95"/>
      <c r="D39" s="95">
        <f>IF(AND($N$9=2,$N$21=1),T39,IF(AND($N$9=2,$N$21=4),U39,IF(AND($N$9=2,$N$21=5),V39,IF(AND($N$9=2,$N$21=11),W39,IF(AND($N$9=2,$N$21=7),X39,IF(AND($N$9=2,$N$21=3),Y39,IF(AND($N$9=2,$N$21=6),Z39,IF(AND($N$9=2,$N$21=9),AA39,IF(AND($N$9=2,$N$21=2),AB39,IF(AND($N$9=2,$N$21=8),AC39,IF(AND($N$9=1,$N$21=1),AD39,IF(AND($N$9=1,$N$21=1),AD39,IF(AND($N$9=1,$N$21=4),AE39,IF(AND($N$9=1,$N$21=5),AF39,IF(AND($N$9=1,$N$21=11),AG39,IF(AND($N$9=1,$N$21=7),AH39,IF(AND($N$9=1,$N$21=3),AI39,IF(AND($N$9=1,$N$21=6),AJ39,IF(AND($N$9=1,$N$21=9),AK39,IF(AND($N$9=1,$N$21=2),AL39,IF(AND($N$9=1,$N$21=8),AM39,0)))))))))))))))))))))</f>
        <v>0</v>
      </c>
      <c r="E39" s="250" t="str">
        <f>VLOOKUP("Ortgangstreifen, 0,70x95x2000mm",Sprachindex!A:Z,Info!$O$6,FALSE)</f>
        <v>Ortgangstreifen, 0,70x95x2000mm</v>
      </c>
      <c r="F39" s="251"/>
      <c r="G39" s="251"/>
      <c r="H39" s="251"/>
      <c r="I39" s="251"/>
      <c r="J39" s="251"/>
      <c r="K39" s="257"/>
      <c r="L39" s="96" t="str">
        <f t="shared" si="0"/>
        <v/>
      </c>
      <c r="M39" s="97"/>
      <c r="O39" s="1"/>
      <c r="P39" s="191" t="str">
        <f>ROUNDUP($A39/2,0)*2 &amp;" " &amp; Formeln!$A$112 &amp; "                " &amp; "(="&amp;ROUNDUP($A39/2,0) &amp; " " &amp;Formeln!$A$111 &amp; ")"</f>
        <v>0 lfm                (=0 STK)</v>
      </c>
      <c r="Q39" s="191" t="str">
        <f>ROUNDUP($A39/2,0)*2 &amp;" " &amp; Formeln!$A$112 &amp; "                " &amp; "(="&amp;ROUNDUP($A39/2,0) &amp; " " &amp;Formeln!$A$111 &amp; ")"</f>
        <v>0 lfm                (=0 STK)</v>
      </c>
      <c r="T39" s="46">
        <v>110500</v>
      </c>
      <c r="U39" s="46">
        <v>110501</v>
      </c>
      <c r="V39" s="46">
        <v>110502</v>
      </c>
      <c r="W39" s="46">
        <v>110503</v>
      </c>
      <c r="X39" s="46">
        <v>110504</v>
      </c>
      <c r="Y39" s="46">
        <v>110505</v>
      </c>
      <c r="Z39" s="46">
        <v>110506</v>
      </c>
      <c r="AA39" s="46">
        <v>110507</v>
      </c>
      <c r="AB39" s="46">
        <v>110508</v>
      </c>
      <c r="AC39" s="46"/>
      <c r="AD39" s="46">
        <v>110510</v>
      </c>
      <c r="AE39" s="46">
        <v>110511</v>
      </c>
      <c r="AF39" s="46">
        <v>110512</v>
      </c>
      <c r="AG39" s="46">
        <v>110513</v>
      </c>
      <c r="AH39" s="46">
        <v>110514</v>
      </c>
      <c r="AI39" s="46">
        <v>110515</v>
      </c>
      <c r="AJ39" s="46">
        <v>110516</v>
      </c>
      <c r="AK39" s="46">
        <v>110517</v>
      </c>
      <c r="AL39" s="46">
        <v>110518</v>
      </c>
      <c r="AM39" s="1">
        <v>110519</v>
      </c>
    </row>
    <row r="40" spans="1:39" ht="32.1" customHeight="1">
      <c r="A40" s="118"/>
      <c r="B40" s="96" t="str">
        <f>VLOOKUP("lfm",Sprachindex!A:Z,Info!$O$6,FALSE)</f>
        <v>lfm</v>
      </c>
      <c r="C40" s="95"/>
      <c r="D40" s="95">
        <f t="shared" ref="D40:D45" si="1">IF(AND($N$9=2,$N$21=1),T40,IF(AND($N$9=2,$N$21=4),U40,IF(AND($N$9=2,$N$21=5),V40,IF(AND($N$9=2,$N$21=11),W40,IF(AND($N$9=2,$N$21=7),X40,IF(AND($N$9=2,$N$21=3),Y40,IF(AND($N$9=2,$N$21=6),Z40,IF(AND($N$9=2,$N$21=9),AA40,IF(AND($N$9=2,$N$21=2),AB40,IF(AND($N$9=2,$N$21=8),AC40,IF(AND($N$9=1,$N$21=1),AD40,IF(AND($N$9=1,$N$21=1),AD40,IF(AND($N$9=1,$N$21=4),AE40,IF(AND($N$9=1,$N$21=5),AF40,IF(AND($N$9=1,$N$21=11),AG40,IF(AND($N$9=1,$N$21=7),AH40,IF(AND($N$9=1,$N$21=3),AI40,IF(AND($N$9=1,$N$21=6),AJ40,IF(AND($N$9=1,$N$21=9),AK40,IF(AND($N$9=1,$N$21=2),AL40,IF(AND($N$9=1,$N$21=8),AM40,0)))))))))))))))))))))</f>
        <v>0</v>
      </c>
      <c r="E40" s="250" t="str">
        <f>VLOOKUP("Sicherheitskehle 3m lang",Sprachindex!A:Z,Info!$O$6,FALSE)</f>
        <v>Sicherheitskehle 3m lang</v>
      </c>
      <c r="F40" s="251"/>
      <c r="G40" s="251"/>
      <c r="H40" s="251"/>
      <c r="I40" s="251"/>
      <c r="J40" s="251"/>
      <c r="K40" s="257"/>
      <c r="L40" s="96" t="str">
        <f t="shared" si="0"/>
        <v/>
      </c>
      <c r="M40" s="97"/>
      <c r="O40" s="1"/>
      <c r="P40" s="191" t="str">
        <f>ROUNDUP($A40/3,0)*3 &amp;" " &amp; Formeln!$A$112 &amp; "                " &amp; "(="&amp;ROUNDUP($A40/3,0) &amp; " " &amp;Formeln!$A$111 &amp; ")"</f>
        <v>0 lfm                (=0 STK)</v>
      </c>
      <c r="Q40" s="191" t="str">
        <f>ROUNDUP($A40/3,0)*3 &amp;" " &amp; Formeln!$A$112 &amp; "                " &amp; "(="&amp;ROUNDUP($A40/3,0) &amp; " " &amp;Formeln!$A$111 &amp; ")"</f>
        <v>0 lfm                (=0 STK)</v>
      </c>
      <c r="T40" s="46">
        <v>110520</v>
      </c>
      <c r="U40" s="46">
        <v>110521</v>
      </c>
      <c r="V40" s="46">
        <v>110522</v>
      </c>
      <c r="W40" s="46">
        <v>110523</v>
      </c>
      <c r="X40" s="46">
        <v>110524</v>
      </c>
      <c r="Y40" s="46">
        <v>110525</v>
      </c>
      <c r="Z40" s="46">
        <v>110526</v>
      </c>
      <c r="AA40" s="46">
        <v>110527</v>
      </c>
      <c r="AB40" s="46">
        <v>110528</v>
      </c>
      <c r="AD40" s="46">
        <v>110530</v>
      </c>
      <c r="AE40" s="46">
        <v>110531</v>
      </c>
      <c r="AF40" s="46">
        <v>110532</v>
      </c>
      <c r="AG40" s="46">
        <v>110533</v>
      </c>
      <c r="AH40" s="46">
        <v>110534</v>
      </c>
      <c r="AI40" s="46">
        <v>110535</v>
      </c>
      <c r="AJ40" s="46">
        <v>110536</v>
      </c>
      <c r="AK40" s="46">
        <v>110537</v>
      </c>
      <c r="AL40" s="46">
        <v>110538</v>
      </c>
      <c r="AM40" s="1">
        <v>110539</v>
      </c>
    </row>
    <row r="41" spans="1:39" ht="32.1" customHeight="1">
      <c r="A41" s="118"/>
      <c r="B41" s="96" t="str">
        <f>VLOOKUP("lfm",Sprachindex!A:Z,Info!$O$6,FALSE)</f>
        <v>lfm</v>
      </c>
      <c r="C41" s="95"/>
      <c r="D41" s="95">
        <f t="shared" si="1"/>
        <v>0</v>
      </c>
      <c r="E41" s="250" t="str">
        <f>VLOOKUP("Grat-Firstreiter inkl. Dichtschrauben ",Sprachindex!A:Z,Info!$O$6,FALSE)</f>
        <v xml:space="preserve">Grat-Firstreiter inkl. Dichtschrauben </v>
      </c>
      <c r="F41" s="251"/>
      <c r="G41" s="251"/>
      <c r="H41" s="251"/>
      <c r="I41" s="251"/>
      <c r="J41" s="251"/>
      <c r="K41" s="257"/>
      <c r="L41" s="96" t="str">
        <f>IF(A41=0,"",IF($N$11=1,P41,Q41))</f>
        <v/>
      </c>
      <c r="M41" s="97"/>
      <c r="O41" s="1"/>
      <c r="P41" s="191" t="str">
        <f>ROUNDUP($A41/10,0)*10 &amp;" " &amp; Formeln!$A$112 &amp; "                     " &amp; "(="&amp;ROUNDUP($A41/10,0)*10/0.5 &amp; " " &amp; Formeln!$A$111 &amp; ")"</f>
        <v>0 lfm                     (=0 STK)</v>
      </c>
      <c r="Q41" s="191" t="str">
        <f>ROUNDUP($A41/0.5,0)*0.5 &amp;" " &amp; Formeln!$A$112 &amp; "                     " &amp; "(="&amp;ROUNDUP($A41/0.5,0)&amp; " " &amp; Formeln!$A$111 &amp; ")"</f>
        <v>0 lfm                     (=0 STK)</v>
      </c>
      <c r="T41" s="46">
        <v>110340</v>
      </c>
      <c r="U41" s="46">
        <v>110341</v>
      </c>
      <c r="V41" s="46">
        <v>110342</v>
      </c>
      <c r="W41" s="46">
        <v>110343</v>
      </c>
      <c r="X41" s="46">
        <v>110344</v>
      </c>
      <c r="Y41" s="46">
        <v>110345</v>
      </c>
      <c r="Z41" s="46">
        <v>110346</v>
      </c>
      <c r="AA41" s="46">
        <v>110347</v>
      </c>
      <c r="AB41" s="46">
        <v>110348</v>
      </c>
      <c r="AC41" s="46"/>
      <c r="AD41" s="46">
        <v>110350</v>
      </c>
      <c r="AE41" s="46">
        <v>110351</v>
      </c>
      <c r="AF41" s="46">
        <v>110352</v>
      </c>
      <c r="AG41" s="46">
        <v>110353</v>
      </c>
      <c r="AH41" s="46">
        <v>110354</v>
      </c>
      <c r="AI41" s="46">
        <v>110355</v>
      </c>
      <c r="AJ41" s="46">
        <v>110356</v>
      </c>
      <c r="AK41" s="46">
        <v>110357</v>
      </c>
      <c r="AL41" s="46">
        <v>110358</v>
      </c>
      <c r="AM41" s="1">
        <v>110359</v>
      </c>
    </row>
    <row r="42" spans="1:39" ht="32.1" customHeight="1">
      <c r="A42" s="118"/>
      <c r="B42" s="96" t="str">
        <f>VLOOKUP("Stk",Sprachindex!A:Z,Info!$O$6,FALSE)</f>
        <v>STK</v>
      </c>
      <c r="C42" s="95"/>
      <c r="D42" s="95">
        <f t="shared" si="1"/>
        <v>0</v>
      </c>
      <c r="E42" s="250" t="str">
        <f>VLOOKUP("Gratreitervorkopf",Sprachindex!A:Z,Info!$O$6,FALSE)</f>
        <v>Gratreitervorkopf</v>
      </c>
      <c r="F42" s="251"/>
      <c r="G42" s="251"/>
      <c r="H42" s="251"/>
      <c r="I42" s="251"/>
      <c r="J42" s="251"/>
      <c r="K42" s="257"/>
      <c r="L42" s="96" t="str">
        <f t="shared" si="0"/>
        <v/>
      </c>
      <c r="M42" s="97"/>
      <c r="O42" s="1"/>
      <c r="P42" s="191" t="str">
        <f>ROUNDUP($A42/10,0)*10 &amp;" " &amp; Formeln!$A$111</f>
        <v>0 STK</v>
      </c>
      <c r="Q42" s="191" t="str">
        <f>ROUNDUP($A42/1,0)*1 &amp;" " &amp; Formeln!$A$111</f>
        <v>0 STK</v>
      </c>
      <c r="T42" s="46">
        <v>110320</v>
      </c>
      <c r="U42" s="46">
        <v>110321</v>
      </c>
      <c r="V42" s="46">
        <v>110322</v>
      </c>
      <c r="W42" s="46">
        <v>110323</v>
      </c>
      <c r="X42" s="46">
        <v>110324</v>
      </c>
      <c r="Y42" s="46">
        <v>110325</v>
      </c>
      <c r="Z42" s="46">
        <v>110326</v>
      </c>
      <c r="AA42" s="46">
        <v>110327</v>
      </c>
      <c r="AB42" s="46">
        <v>110328</v>
      </c>
      <c r="AC42" s="46"/>
      <c r="AD42" s="46">
        <v>110330</v>
      </c>
      <c r="AE42" s="46">
        <v>110331</v>
      </c>
      <c r="AF42" s="46">
        <v>110332</v>
      </c>
      <c r="AG42" s="46">
        <v>110333</v>
      </c>
      <c r="AH42" s="46">
        <v>110334</v>
      </c>
      <c r="AI42" s="46">
        <v>110335</v>
      </c>
      <c r="AJ42" s="46">
        <v>110336</v>
      </c>
      <c r="AK42" s="46">
        <v>110337</v>
      </c>
      <c r="AL42" s="46">
        <v>110338</v>
      </c>
      <c r="AM42" s="46">
        <v>110339</v>
      </c>
    </row>
    <row r="43" spans="1:39" ht="32.1" customHeight="1">
      <c r="A43" s="118"/>
      <c r="B43" s="96" t="str">
        <f>VLOOKUP("lfm",Sprachindex!A:Z,Info!$O$6,FALSE)</f>
        <v>lfm</v>
      </c>
      <c r="C43" s="95"/>
      <c r="D43" s="95">
        <f t="shared" si="1"/>
        <v>0</v>
      </c>
      <c r="E43" s="250" t="str">
        <f>VLOOKUP("Jet-Lüfter 1.2m lang",Sprachindex!A:Z,Info!$O$6,FALSE)</f>
        <v>Jet-Lüfter 1.2m lang</v>
      </c>
      <c r="F43" s="251"/>
      <c r="G43" s="251"/>
      <c r="H43" s="251"/>
      <c r="I43" s="251"/>
      <c r="J43" s="251"/>
      <c r="K43" s="257"/>
      <c r="L43" s="96" t="str">
        <f t="shared" si="0"/>
        <v/>
      </c>
      <c r="M43" s="97"/>
      <c r="O43" s="1"/>
      <c r="P43" s="191" t="str">
        <f>ROUNDUP($A43/1.2,0)*1.2 &amp;" " &amp; Formeln!$A$112 &amp; "                " &amp; "(="&amp;ROUNDUP($A43/1.2,0) &amp; " " &amp;Formeln!$A$111 &amp; ")"</f>
        <v>0 lfm                (=0 STK)</v>
      </c>
      <c r="Q43" s="191" t="str">
        <f>ROUNDUP($A43/1.2,0)*1.2 &amp;" " &amp; Formeln!$A$112 &amp; "                " &amp; "(="&amp;ROUNDUP($A43/1.2,0) &amp; " " &amp;Formeln!$A$111 &amp; ")"</f>
        <v>0 lfm                (=0 STK)</v>
      </c>
      <c r="T43" s="46">
        <v>110640</v>
      </c>
      <c r="U43" s="46">
        <v>110641</v>
      </c>
      <c r="V43" s="46">
        <v>110642</v>
      </c>
      <c r="W43" s="46">
        <v>110643</v>
      </c>
      <c r="X43" s="46">
        <v>110644</v>
      </c>
      <c r="Y43" s="46">
        <v>110645</v>
      </c>
      <c r="Z43" s="46">
        <v>110646</v>
      </c>
      <c r="AA43" s="46">
        <v>110647</v>
      </c>
      <c r="AB43" s="46">
        <v>110648</v>
      </c>
      <c r="AC43" s="46"/>
      <c r="AD43" s="46">
        <v>110650</v>
      </c>
      <c r="AE43" s="46">
        <v>110651</v>
      </c>
      <c r="AF43" s="46">
        <v>110652</v>
      </c>
      <c r="AG43" s="46">
        <v>110653</v>
      </c>
      <c r="AH43" s="46">
        <v>110654</v>
      </c>
      <c r="AI43" s="46">
        <v>110655</v>
      </c>
      <c r="AJ43" s="46">
        <v>110656</v>
      </c>
      <c r="AK43" s="46">
        <v>110657</v>
      </c>
      <c r="AL43" s="46">
        <v>110658</v>
      </c>
      <c r="AM43" s="46">
        <v>110659</v>
      </c>
    </row>
    <row r="44" spans="1:39" ht="32.1" customHeight="1">
      <c r="A44" s="118"/>
      <c r="B44" s="96" t="str">
        <f>VLOOKUP("lfm",Sprachindex!A:Z,Info!$O$6,FALSE)</f>
        <v>lfm</v>
      </c>
      <c r="C44" s="95"/>
      <c r="D44" s="95">
        <f t="shared" si="1"/>
        <v>0</v>
      </c>
      <c r="E44" s="250" t="str">
        <f>VLOOKUP("Jet-Lüfter",Sprachindex!A:Z,Info!$O$6,FALSE)</f>
        <v>Jet-Lüfter</v>
      </c>
      <c r="F44" s="251"/>
      <c r="G44" s="251"/>
      <c r="H44" s="251"/>
      <c r="I44" s="251"/>
      <c r="J44" s="251"/>
      <c r="K44" s="257"/>
      <c r="L44" s="96" t="str">
        <f t="shared" si="0"/>
        <v/>
      </c>
      <c r="M44" s="97"/>
      <c r="O44" s="1"/>
      <c r="P44" s="191" t="str">
        <f>ROUNDUP($A44/9,0)*9 &amp;" " &amp; Formeln!$A$112 &amp; "                " &amp; "(="&amp;ROUNDUP($A44/9,0)*3 &amp; " " &amp;Formeln!$A$111 &amp; ")"</f>
        <v>0 lfm                (=0 STK)</v>
      </c>
      <c r="Q44" s="191" t="str">
        <f>ROUNDUP($A44/3,0)*3 &amp;" " &amp; Formeln!$A$112 &amp; "                " &amp; "(="&amp;ROUNDUP($A44/3,0) &amp; " " &amp;Formeln!$A$111 &amp; ")"</f>
        <v>0 lfm                (=0 STK)</v>
      </c>
      <c r="T44" s="46">
        <v>110620</v>
      </c>
      <c r="U44" s="46">
        <v>110621</v>
      </c>
      <c r="V44" s="46">
        <v>110622</v>
      </c>
      <c r="W44" s="46">
        <v>110623</v>
      </c>
      <c r="X44" s="46">
        <v>110624</v>
      </c>
      <c r="Y44" s="46">
        <v>110625</v>
      </c>
      <c r="Z44" s="46">
        <v>110626</v>
      </c>
      <c r="AA44" s="46">
        <v>110627</v>
      </c>
      <c r="AB44" s="46">
        <v>110628</v>
      </c>
      <c r="AC44" s="46"/>
      <c r="AD44" s="46">
        <v>110630</v>
      </c>
      <c r="AE44" s="46">
        <v>110631</v>
      </c>
      <c r="AF44" s="46">
        <v>110632</v>
      </c>
      <c r="AG44" s="46">
        <v>110633</v>
      </c>
      <c r="AH44" s="46">
        <v>110634</v>
      </c>
      <c r="AI44" s="46">
        <v>110635</v>
      </c>
      <c r="AJ44" s="46">
        <v>110636</v>
      </c>
      <c r="AK44" s="46">
        <v>110637</v>
      </c>
      <c r="AL44" s="46">
        <v>110638</v>
      </c>
      <c r="AM44" s="46">
        <v>110639</v>
      </c>
    </row>
    <row r="45" spans="1:39" ht="32.1" customHeight="1">
      <c r="A45" s="118"/>
      <c r="B45" s="96" t="str">
        <f>VLOOKUP("Stk",Sprachindex!A:Z,Info!$O$6,FALSE)</f>
        <v>STK</v>
      </c>
      <c r="C45" s="95"/>
      <c r="D45" s="95">
        <f t="shared" si="1"/>
        <v>0</v>
      </c>
      <c r="E45" s="250" t="str">
        <f>VLOOKUP("Jet-Lüfter-Vorkopf",Sprachindex!A:Z,Info!$O$6,FALSE)</f>
        <v>Jet-Lüfter-Vorkopf</v>
      </c>
      <c r="F45" s="251"/>
      <c r="G45" s="251"/>
      <c r="H45" s="251"/>
      <c r="I45" s="251"/>
      <c r="J45" s="251"/>
      <c r="K45" s="257"/>
      <c r="L45" s="96" t="str">
        <f t="shared" si="0"/>
        <v/>
      </c>
      <c r="M45" s="97"/>
      <c r="O45" s="1"/>
      <c r="P45" s="191" t="str">
        <f>ROUNDUP($A45/2,0)*2 &amp;" " &amp; Formeln!$A$111</f>
        <v>0 STK</v>
      </c>
      <c r="Q45" s="191" t="str">
        <f>ROUNDUP($A45/1,0)*1 &amp;" " &amp; Formeln!$A$111</f>
        <v>0 STK</v>
      </c>
      <c r="T45" s="46">
        <v>110600</v>
      </c>
      <c r="U45" s="46">
        <v>110601</v>
      </c>
      <c r="V45" s="46">
        <v>110602</v>
      </c>
      <c r="W45" s="46">
        <v>110603</v>
      </c>
      <c r="X45" s="46">
        <v>110604</v>
      </c>
      <c r="Y45" s="46">
        <v>110605</v>
      </c>
      <c r="Z45" s="46">
        <v>110606</v>
      </c>
      <c r="AA45" s="46">
        <v>110607</v>
      </c>
      <c r="AB45" s="46">
        <v>110608</v>
      </c>
      <c r="AC45" s="46"/>
      <c r="AD45" s="46">
        <v>110610</v>
      </c>
      <c r="AE45" s="46">
        <v>110611</v>
      </c>
      <c r="AF45" s="46">
        <v>110612</v>
      </c>
      <c r="AG45" s="46">
        <v>110613</v>
      </c>
      <c r="AH45" s="46">
        <v>110614</v>
      </c>
      <c r="AI45" s="46">
        <v>110615</v>
      </c>
      <c r="AJ45" s="46">
        <v>110616</v>
      </c>
      <c r="AK45" s="46">
        <v>110617</v>
      </c>
      <c r="AL45" s="46">
        <v>110618</v>
      </c>
      <c r="AM45" s="46">
        <v>110619</v>
      </c>
    </row>
    <row r="46" spans="1:39" ht="32.1" customHeight="1">
      <c r="A46" s="118"/>
      <c r="B46" s="96" t="str">
        <f>VLOOKUP("Stk",Sprachindex!A:Z,Info!$O$6,FALSE)</f>
        <v>STK</v>
      </c>
      <c r="C46" s="95"/>
      <c r="D46" s="95">
        <f>IF($N$21=1,T46,IF($N$21=4,U46,IF($N$21=5,V46,IF($N$21=11,W46,IF($N$21=7,X46,IF($N$21=3,Y46,IF($N$21=6,Z46,IF($N$21=9,AA46,IF($N$21=2,AB46,IF($N$21=8,AC46,0))))))))))</f>
        <v>0</v>
      </c>
      <c r="E46" s="250" t="str">
        <f>VLOOKUP("Dichtschraube NIRO, 4,5x25",Sprachindex!A:Z,Info!$O$6,FALSE)</f>
        <v>Dichtschraube NIRO, 4,5x25</v>
      </c>
      <c r="F46" s="251"/>
      <c r="G46" s="251"/>
      <c r="H46" s="251"/>
      <c r="I46" s="251"/>
      <c r="J46" s="251"/>
      <c r="K46" s="257"/>
      <c r="L46" s="96" t="str">
        <f t="shared" si="0"/>
        <v/>
      </c>
      <c r="M46" s="97"/>
      <c r="O46" s="1"/>
      <c r="P46" s="191" t="str">
        <f>ROUNDUP($A46/200,0)*200 &amp;" " &amp; Formeln!$A$111</f>
        <v>0 STK</v>
      </c>
      <c r="Q46" s="191" t="str">
        <f>ROUNDUP($A46,0) &amp;" " &amp; Formeln!$A$111</f>
        <v>0 STK</v>
      </c>
      <c r="T46" s="46">
        <v>340041</v>
      </c>
      <c r="U46" s="46">
        <v>340042</v>
      </c>
      <c r="V46" s="46">
        <v>340043</v>
      </c>
      <c r="W46" s="46">
        <v>340044</v>
      </c>
      <c r="X46" s="179"/>
      <c r="Y46" s="46">
        <v>340045</v>
      </c>
      <c r="Z46" s="46">
        <v>340046</v>
      </c>
      <c r="AA46" s="46">
        <v>340047</v>
      </c>
      <c r="AB46" s="46">
        <v>340048</v>
      </c>
      <c r="AC46" s="46">
        <v>340049</v>
      </c>
      <c r="AD46" s="1" t="s">
        <v>48</v>
      </c>
    </row>
    <row r="47" spans="1:39" ht="32.1" customHeight="1">
      <c r="A47" s="118"/>
      <c r="B47" s="96" t="str">
        <f>VLOOKUP("Stk",Sprachindex!A:Z,Info!$O$6,FALSE)</f>
        <v>STK</v>
      </c>
      <c r="C47" s="95"/>
      <c r="D47" s="95">
        <f>IF(H47=Formeln!A13,IF($N$21=1,T47,IF($N$21=4,U47,IF($N$21=5,V47,IF($N$21=11,W47,IF($N$21=7,X47,IF($N$21=3,Y47,IF($N$21=6,Z47,IF($N$21=9,AA47,IF($N$21=2,AB47,IF($N$21=8,AC47,0)))))))))),IF(H47=Formeln!A14,AD47,0))</f>
        <v>0</v>
      </c>
      <c r="E47" s="250" t="str">
        <f>VLOOKUP("Dichtschraube NIRO",Sprachindex!A:Z,Info!$O$6,FALSE)</f>
        <v>Dichtschraube NIRO</v>
      </c>
      <c r="F47" s="251"/>
      <c r="G47" s="251"/>
      <c r="H47" s="252"/>
      <c r="I47" s="267"/>
      <c r="J47" s="267"/>
      <c r="K47" s="253"/>
      <c r="L47" s="96" t="str">
        <f>IF(A47=0,"",IF(H47=Formeln!$A$14," ",IF($N$11=1,P47,Q47)))</f>
        <v/>
      </c>
      <c r="M47" s="97"/>
      <c r="O47" s="1"/>
      <c r="P47" s="191" t="str">
        <f>ROUNDUP($A47/250,0)*250 &amp;" " &amp; Formeln!$A$111</f>
        <v>0 STK</v>
      </c>
      <c r="Q47" s="191" t="str">
        <f>ROUNDUP($A47,0) &amp;" " &amp; Formeln!$A$111</f>
        <v>0 STK</v>
      </c>
      <c r="T47" s="46">
        <v>340001</v>
      </c>
      <c r="U47" s="46">
        <v>340004</v>
      </c>
      <c r="V47" s="46">
        <v>340003</v>
      </c>
      <c r="W47" s="46">
        <v>340104</v>
      </c>
      <c r="Y47" s="46">
        <v>340002</v>
      </c>
      <c r="Z47" s="46">
        <v>340016</v>
      </c>
      <c r="AA47" s="46">
        <v>340011</v>
      </c>
      <c r="AB47" s="46">
        <v>340014</v>
      </c>
      <c r="AC47" s="46">
        <v>340013</v>
      </c>
      <c r="AD47" s="1">
        <v>340103</v>
      </c>
    </row>
    <row r="48" spans="1:39" ht="32.1" customHeight="1">
      <c r="A48" s="118"/>
      <c r="B48" s="96" t="str">
        <f>VLOOKUP("Stk",Sprachindex!A:Z,Info!$O$6,FALSE)</f>
        <v>STK</v>
      </c>
      <c r="C48" s="95"/>
      <c r="D48" s="95">
        <f>IF(H48=Formeln!A16,IF($N$21=1,T48,IF($N$21=4,U48,IF($N$21=5,V48,IF($N$21=11,W48,IF($N$21=7,X48,IF($N$21=3,Y48,IF($N$21=6,Z48,IF($N$21=9,AA48,IF($N$21=2,AB48,IF($N$21=8,AC48,0)))))))))),IF(H48=Formeln!A17,AD48,0))</f>
        <v>340106</v>
      </c>
      <c r="E48" s="250" t="str">
        <f>VLOOKUP("Dichtschraube NIRO",Sprachindex!A:Z,Info!$O$6,FALSE)</f>
        <v>Dichtschraube NIRO</v>
      </c>
      <c r="F48" s="251"/>
      <c r="G48" s="251"/>
      <c r="H48" s="252"/>
      <c r="I48" s="267"/>
      <c r="J48" s="267"/>
      <c r="K48" s="253"/>
      <c r="L48" s="96" t="str">
        <f>IF(A48=0,"",IF(H48=Formeln!$A$14," ",IF($N$11=1,P48,Q48)))</f>
        <v/>
      </c>
      <c r="M48" s="97"/>
      <c r="O48" s="1"/>
      <c r="P48" s="191" t="str">
        <f>ROUNDUP($A48/100,0)*100 &amp;" " &amp; Formeln!$A$111</f>
        <v>0 STK</v>
      </c>
      <c r="Q48" s="191" t="str">
        <f>ROUNDUP($A48,0) &amp;" " &amp; Formeln!$A$111</f>
        <v>0 STK</v>
      </c>
      <c r="T48" s="46">
        <v>340020</v>
      </c>
      <c r="U48" s="46">
        <v>340024</v>
      </c>
      <c r="V48" s="46">
        <v>340022</v>
      </c>
      <c r="W48" s="46">
        <v>340021</v>
      </c>
      <c r="Y48" s="46">
        <v>340025</v>
      </c>
      <c r="Z48" s="46">
        <v>340032</v>
      </c>
      <c r="AA48" s="46">
        <v>340027</v>
      </c>
      <c r="AB48" s="46">
        <v>340030</v>
      </c>
      <c r="AC48" s="46">
        <v>340036</v>
      </c>
      <c r="AD48" s="1">
        <v>340106</v>
      </c>
    </row>
    <row r="49" spans="1:460" ht="32.1" customHeight="1">
      <c r="A49" s="118"/>
      <c r="B49" s="96" t="str">
        <f>VLOOKUP("Stk",Sprachindex!A:Z,Info!$O$6,FALSE)</f>
        <v>STK</v>
      </c>
      <c r="C49" s="95"/>
      <c r="D49" s="95">
        <f>IF($N$21=1,T49,IF($N$21=4,U49,IF($N$21=5,V49,IF($N$21=11,W49,IF($N$21=7,X49,IF($N$21=3,Y49,IF($N$21=6,Z49,IF($N$21=9,AA49,IF($N$21=2,AB49,IF($N$21=8,AC49,0))))))))))</f>
        <v>0</v>
      </c>
      <c r="E49" s="250" t="str">
        <f>VLOOKUP("Froschmaullukenhaube",Sprachindex!A:Z,Info!$O$6,FALSE)</f>
        <v>Froschmaullukenhaube</v>
      </c>
      <c r="F49" s="251"/>
      <c r="G49" s="251"/>
      <c r="H49" s="251"/>
      <c r="I49" s="251"/>
      <c r="J49" s="251"/>
      <c r="K49" s="257"/>
      <c r="L49" s="96" t="str">
        <f t="shared" si="0"/>
        <v/>
      </c>
      <c r="M49" s="97"/>
      <c r="O49" s="1"/>
      <c r="P49" s="191" t="str">
        <f>ROUNDUP($A49/20,0)*20 &amp;" " &amp; Formeln!$A$111</f>
        <v>0 STK</v>
      </c>
      <c r="Q49" s="191" t="str">
        <f>ROUNDUP($A49,0) &amp;" " &amp; Formeln!$A$111</f>
        <v>0 STK</v>
      </c>
      <c r="T49" s="46">
        <v>110100</v>
      </c>
      <c r="U49" s="46">
        <v>110101</v>
      </c>
      <c r="V49" s="46">
        <v>110102</v>
      </c>
      <c r="W49" s="46">
        <v>110103</v>
      </c>
      <c r="X49" s="46">
        <v>110104</v>
      </c>
      <c r="Y49" s="46">
        <v>110105</v>
      </c>
      <c r="Z49" s="46">
        <v>110106</v>
      </c>
      <c r="AA49" s="46">
        <v>110107</v>
      </c>
      <c r="AB49" s="46">
        <v>110108</v>
      </c>
      <c r="AC49" s="46">
        <v>121005</v>
      </c>
    </row>
    <row r="50" spans="1:460" ht="32.1" customHeight="1">
      <c r="A50" s="118"/>
      <c r="B50" s="96" t="str">
        <f>VLOOKUP("Stk",Sprachindex!A:Z,Info!$O$6,FALSE)</f>
        <v>STK</v>
      </c>
      <c r="C50" s="95"/>
      <c r="D50" s="95">
        <v>545106</v>
      </c>
      <c r="E50" s="261" t="str">
        <f>VLOOKUP("Einfassung Vario, 120-600 mm, stucco",Sprachindex!A:Z,Info!$O$6,FALSE)</f>
        <v>Einfassung Vario, 120-600 mm, stucco</v>
      </c>
      <c r="F50" s="262"/>
      <c r="G50" s="262"/>
      <c r="H50" s="262"/>
      <c r="I50" s="262"/>
      <c r="J50" s="262"/>
      <c r="K50" s="263"/>
      <c r="L50" s="96" t="str">
        <f>IF($A50=0,"",IF($J50=Formeln!$A$27," ",IF($N$11=1,P50,Q50)))</f>
        <v/>
      </c>
      <c r="M50" s="97"/>
      <c r="O50" s="1"/>
      <c r="P50" s="191"/>
      <c r="Q50" s="191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460" ht="32.1" customHeight="1">
      <c r="A51" s="118"/>
      <c r="B51" s="96" t="str">
        <f>VLOOKUP("Stk",Sprachindex!A:Z,Info!$O$6,FALSE)</f>
        <v>STK</v>
      </c>
      <c r="C51" s="95"/>
      <c r="D51" s="95">
        <v>545106</v>
      </c>
      <c r="E51" s="261" t="str">
        <f>VLOOKUP("Einfassung Vario, 600-1.020 mm, stucco",Sprachindex!A:Z,Info!$O$6,FALSE)</f>
        <v>Einfassung Vario, 600-1.020 mm, stucco</v>
      </c>
      <c r="F51" s="262"/>
      <c r="G51" s="262"/>
      <c r="H51" s="262"/>
      <c r="I51" s="262"/>
      <c r="J51" s="262"/>
      <c r="K51" s="263"/>
      <c r="L51" s="96" t="str">
        <f>IF($A51=0,"",IF($J51=Formeln!$A$27," ",IF($N$11=1,P51,Q51)))</f>
        <v/>
      </c>
      <c r="M51" s="97"/>
      <c r="O51" s="1"/>
      <c r="P51" s="191"/>
      <c r="Q51" s="191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460" ht="32.1" customHeight="1">
      <c r="A52" s="118"/>
      <c r="B52" s="96" t="str">
        <f>VLOOKUP("Stk",Sprachindex!A:Z,Info!$O$6,FALSE)</f>
        <v>STK</v>
      </c>
      <c r="C52" s="95"/>
      <c r="D52" s="95">
        <f>IF(AND($N$9=2,$N$21=1),T52,IF(AND($N$9=2,$N$21=4),U52,IF(AND($N$9=2,$N$21=5),V52,IF(AND($N$9=2,$N$21=11),W52,IF(AND($N$9=2,$N$21=7),X52,IF(AND($N$9=2,$N$21=3),Y52,IF(AND($N$9=2,$N$21=6),Z52,IF(AND($N$9=2,$N$21=9),AA52,IF(AND($N$9=2,$N$21=2),AB52,IF(AND($N$9=2,$N$21=8),AC52,IF(AND($N$9=1,$N$21=1),AD52,IF(AND($N$9=1,$N$21=1),AD52,IF(AND($N$9=1,$N$21=4),AE52,IF(AND($N$9=1,$N$21=5),AF52,IF(AND($N$9=1,$N$21=11),AG52,IF(AND($N$9=1,$N$21=7),AH52,IF(AND($N$9=1,$N$21=3),AI52,IF(AND($N$9=1,$N$21=6),AJ52,IF(AND($N$9=1,$N$21=9),AK52,IF(AND($N$9=1,$N$21=2),AL52,IF(AND($N$9=1,$N$21=8),AM52,0)))))))))))))))))))))</f>
        <v>0</v>
      </c>
      <c r="E52" s="261" t="str">
        <f>VLOOKUP("Dachausstiegsluke, 600x600mm",Sprachindex!A:Z,Info!$O$6,FALSE)</f>
        <v>Dachausstiegsluke, 600x600mm</v>
      </c>
      <c r="F52" s="262"/>
      <c r="G52" s="262"/>
      <c r="H52" s="262"/>
      <c r="I52" s="262"/>
      <c r="J52" s="262"/>
      <c r="K52" s="263"/>
      <c r="L52" s="96" t="str">
        <f t="shared" si="0"/>
        <v/>
      </c>
      <c r="M52" s="97"/>
      <c r="O52" s="1"/>
      <c r="P52" s="191" t="str">
        <f>ROUNDUP($A52,0) &amp;" " &amp; Formeln!$A$111</f>
        <v>0 STK</v>
      </c>
      <c r="Q52" s="191" t="str">
        <f>ROUNDUP($A52,0) &amp;" " &amp; Formeln!$A$111</f>
        <v>0 STK</v>
      </c>
      <c r="T52" s="46">
        <v>110020</v>
      </c>
      <c r="U52" s="46">
        <v>110021</v>
      </c>
      <c r="V52" s="46">
        <v>110022</v>
      </c>
      <c r="W52" s="46">
        <v>110023</v>
      </c>
      <c r="X52" s="46">
        <v>110024</v>
      </c>
      <c r="Y52" s="46">
        <v>110025</v>
      </c>
      <c r="Z52" s="46">
        <v>110026</v>
      </c>
      <c r="AA52" s="46">
        <v>110027</v>
      </c>
      <c r="AB52" s="46">
        <v>110028</v>
      </c>
      <c r="AC52" s="46"/>
      <c r="AD52" s="46">
        <v>110030</v>
      </c>
      <c r="AE52" s="46">
        <v>110031</v>
      </c>
      <c r="AF52" s="46">
        <v>110032</v>
      </c>
      <c r="AG52" s="46">
        <v>110033</v>
      </c>
      <c r="AH52" s="46">
        <v>110034</v>
      </c>
      <c r="AI52" s="46">
        <v>110035</v>
      </c>
      <c r="AJ52" s="46">
        <v>110036</v>
      </c>
      <c r="AK52" s="46">
        <v>110037</v>
      </c>
      <c r="AL52" s="46">
        <v>110038</v>
      </c>
      <c r="AM52" s="46">
        <v>110039</v>
      </c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</row>
    <row r="53" spans="1:460" ht="32.1" customHeight="1">
      <c r="A53" s="118"/>
      <c r="B53" s="96" t="str">
        <f>VLOOKUP("Stk",Sprachindex!A:Z,Info!$O$6,FALSE)</f>
        <v>STK</v>
      </c>
      <c r="C53" s="95"/>
      <c r="D53" s="95">
        <f>IF(J53=Formeln!$A$28,AN53,IF(J53=Formeln!$A$29,BI53,IF(J53=Formeln!$A$30,CD53,IF(J53=Formeln!$A$31,CY53,IF(J53=Formeln!$A$32,DT53,IF(J53=Formeln!$A$33,EO53,IF(J53=Formeln!$A$34,FJ53,IF(J53=Formeln!$A$35,GE53,IF(J53=Formeln!$A$36,GZ53,IF(J53=Formeln!$A$37,HU53,IF(J53=Formeln!$A$38,IP53,IF(J53=Formeln!$A$39,JK53,IF(J53=Formeln!$A$40,KF53,IF(J53=Formeln!$A$41,LA53,IF(J53=Formeln!$A$42,LV53,IF(J53=Formeln!$A$43,MQ53,IF(J53=Formeln!$A$44,NL53,IF(J53=Formeln!$A$45,OG53,IF(J53=Formeln!$A$46,PB53,IF(J53=Formeln!$A$47,PW53,IF(J53=Formeln!$A$48,QR53,0)))))))))))))))))))))</f>
        <v>0</v>
      </c>
      <c r="E53" s="250" t="str">
        <f>VLOOKUP("VELUX Einfassung",Sprachindex!A:Z,Info!$O$6,FALSE)</f>
        <v>VELUX Einfassung</v>
      </c>
      <c r="F53" s="251"/>
      <c r="G53" s="251"/>
      <c r="H53" s="251"/>
      <c r="I53" s="101" t="str">
        <f>VLOOKUP("Maße:",Sprachindex!A:Z,Info!$O$6,FALSE)</f>
        <v>Maße:</v>
      </c>
      <c r="J53" s="252"/>
      <c r="K53" s="253"/>
      <c r="L53" s="96" t="str">
        <f>IF($A53=0,"",IF($J53=Formeln!$A$27," ",IF($N$11=1,P53,Q53)))</f>
        <v/>
      </c>
      <c r="M53" s="97"/>
      <c r="O53" s="1"/>
      <c r="P53" s="191" t="str">
        <f>ROUNDUP($A53,0) &amp;" " &amp; Formeln!$A$111</f>
        <v>0 STK</v>
      </c>
      <c r="Q53" s="191" t="str">
        <f>ROUNDUP($A53,0) &amp;" " &amp; Formeln!$A$111</f>
        <v>0 STK</v>
      </c>
      <c r="T53" s="46"/>
      <c r="U53" s="50"/>
      <c r="V53" s="50"/>
      <c r="W53" s="50"/>
      <c r="X53" s="50"/>
      <c r="Y53" s="50"/>
      <c r="Z53" s="50"/>
      <c r="AA53" s="50"/>
      <c r="AB53" s="50"/>
      <c r="AD53" s="50">
        <v>111100</v>
      </c>
      <c r="AE53" s="50">
        <v>111101</v>
      </c>
      <c r="AF53" s="50">
        <v>111102</v>
      </c>
      <c r="AG53" s="50">
        <v>111103</v>
      </c>
      <c r="AH53" s="50">
        <v>111104</v>
      </c>
      <c r="AI53" s="50">
        <v>111105</v>
      </c>
      <c r="AJ53" s="50">
        <v>111106</v>
      </c>
      <c r="AK53" s="50">
        <v>111107</v>
      </c>
      <c r="AL53" s="50">
        <v>111108</v>
      </c>
      <c r="AM53" s="229">
        <v>111109</v>
      </c>
      <c r="AN53" s="52">
        <f>IF(AND($N$9=2,$N$21=1),T53,IF(AND($N$9=2,$N$21=4),U53,IF(AND($N$9=2,$N$21=5),V53,IF(AND($N$9=2,$N$21=11),W53,IF(AND($N$9=2,$N$21=7),X53,IF(AND($N$9=2,$N$21=3),Y53,IF(AND($N$9=2,$N$21=6),Z53,IF(AND($N$9=2,$N$21=9),AA53,IF(AND($N$9=2,$N$21=2),AB53,IF(AND($N$9=2,$N$21=8),AC53,IF(AND($N$9=1,$N$21=1),AD53,IF(AND($N$9=1,$N$21=1),AD53,IF(AND($N$9=1,$N$21=4),AE53,IF(AND($N$9=1,$N$21=5),AF53,IF(AND($N$9=1,$N$21=11),AG53,IF(AND($N$9=1,$N$21=7),AH53,IF(AND($N$9=1,$N$21=3),AI53,IF(AND($N$9=1,$N$21=6),AJ53,IF(AND($N$9=1,$N$21=9),AK53,IF(AND($N$9=1,$N$21=2),AL53,IF(AND($N$9=1,$N$21=8),AM53,0)))))))))))))))))))))</f>
        <v>0</v>
      </c>
      <c r="AO53" s="51"/>
      <c r="AP53" s="50"/>
      <c r="AQ53" s="50"/>
      <c r="AR53" s="50"/>
      <c r="AS53" s="50"/>
      <c r="AT53" s="50"/>
      <c r="AU53" s="50"/>
      <c r="AV53" s="50"/>
      <c r="AW53" s="50"/>
      <c r="AY53" s="50">
        <v>111100</v>
      </c>
      <c r="AZ53" s="50">
        <v>111101</v>
      </c>
      <c r="BA53" s="50">
        <v>111102</v>
      </c>
      <c r="BB53" s="50">
        <v>111103</v>
      </c>
      <c r="BC53" s="50">
        <v>111104</v>
      </c>
      <c r="BD53" s="50">
        <v>111105</v>
      </c>
      <c r="BE53" s="50">
        <v>111106</v>
      </c>
      <c r="BF53" s="50">
        <v>111107</v>
      </c>
      <c r="BG53" s="50">
        <v>111108</v>
      </c>
      <c r="BH53" s="229">
        <v>111109</v>
      </c>
      <c r="BI53" s="52">
        <f>IF(AND($N$9=2,$N$21=1),AO53,IF(AND($N$9=2,$N$21=4),AP53,IF(AND($N$9=2,$N$21=5),AQ53,IF(AND($N$9=2,$N$21=11),AR53,IF(AND($N$9=2,$N$21=7),AS53,IF(AND($N$9=2,$N$21=3),AT53,IF(AND($N$9=2,$N$21=6),AU53,IF(AND($N$9=2,$N$21=9),AV53,IF(AND($N$9=2,$N$21=2),AW53,IF(AND($N$9=2,$N$21=8),AX53,IF(AND($N$9=1,$N$21=1),AY53,IF(AND($N$9=1,$N$21=1),AY53,IF(AND($N$9=1,$N$21=4),AZ53,IF(AND($N$9=1,$N$21=5),BA53,IF(AND($N$9=1,$N$21=11),BB53,IF(AND($N$9=1,$N$21=7),BC53,IF(AND($N$9=1,$N$21=3),BD53,IF(AND($N$9=1,$N$21=6),BE53,IF(AND($N$9=1,$N$21=9),BF53,IF(AND($N$9=1,$N$21=2),BG53,IF(AND($N$9=1,$N$21=8),BH53,0)))))))))))))))))))))</f>
        <v>0</v>
      </c>
      <c r="BJ53" s="51"/>
      <c r="BK53" s="50"/>
      <c r="BL53" s="50"/>
      <c r="BM53" s="50"/>
      <c r="BN53" s="50"/>
      <c r="BO53" s="50"/>
      <c r="BP53" s="50"/>
      <c r="BQ53" s="50"/>
      <c r="BR53" s="50"/>
      <c r="BT53" s="50">
        <v>111100</v>
      </c>
      <c r="BU53" s="50">
        <v>111101</v>
      </c>
      <c r="BV53" s="50">
        <v>111102</v>
      </c>
      <c r="BW53" s="50">
        <v>111103</v>
      </c>
      <c r="BX53" s="50">
        <v>111104</v>
      </c>
      <c r="BY53" s="50">
        <v>111105</v>
      </c>
      <c r="BZ53" s="50">
        <v>111106</v>
      </c>
      <c r="CA53" s="50">
        <v>111107</v>
      </c>
      <c r="CB53" s="50">
        <v>111108</v>
      </c>
      <c r="CC53" s="229">
        <v>111109</v>
      </c>
      <c r="CD53" s="52">
        <f>IF(AND($N$9=2,$N$21=1),BJ53,IF(AND($N$9=2,$N$21=4),BK53,IF(AND($N$9=2,$N$21=5),BL53,IF(AND($N$9=2,$N$21=11),BM53,IF(AND($N$9=2,$N$21=7),BN53,IF(AND($N$9=2,$N$21=3),BO53,IF(AND($N$9=2,$N$21=6),BP53,IF(AND($N$9=2,$N$21=9),BQ53,IF(AND($N$9=2,$N$21=2),BR53,IF(AND($N$9=2,$N$21=8),BS53,IF(AND($N$9=1,$N$21=1),BT53,IF(AND($N$9=1,$N$21=1),BT53,IF(AND($N$9=1,$N$21=4),BU53,IF(AND($N$9=1,$N$21=5),BV53,IF(AND($N$9=1,$N$21=11),BW53,IF(AND($N$9=1,$N$21=7),BX53,IF(AND($N$9=1,$N$21=3),BY53,IF(AND($N$9=1,$N$21=6),BZ53,IF(AND($N$9=1,$N$21=9),CA53,IF(AND($N$9=1,$N$21=2),CB53,IF(AND($N$9=1,$N$21=8),CC53,0)))))))))))))))))))))</f>
        <v>0</v>
      </c>
      <c r="CE53" s="51"/>
      <c r="CF53" s="46"/>
      <c r="CG53" s="46"/>
      <c r="CH53" s="46"/>
      <c r="CI53" s="46"/>
      <c r="CJ53" s="46"/>
      <c r="CK53" s="46"/>
      <c r="CL53" s="46"/>
      <c r="CM53" s="46"/>
      <c r="CO53" s="46">
        <v>111120</v>
      </c>
      <c r="CP53" s="46">
        <v>111121</v>
      </c>
      <c r="CQ53" s="46">
        <v>111122</v>
      </c>
      <c r="CR53" s="46">
        <v>111123</v>
      </c>
      <c r="CS53" s="46">
        <v>111124</v>
      </c>
      <c r="CT53" s="46">
        <v>111125</v>
      </c>
      <c r="CU53" s="46">
        <v>111126</v>
      </c>
      <c r="CV53" s="46">
        <v>111127</v>
      </c>
      <c r="CW53" s="46">
        <v>111128</v>
      </c>
      <c r="CX53" s="229">
        <v>111129</v>
      </c>
      <c r="CY53" s="52">
        <f>IF(AND($N$9=2,$N$21=1),CE53,IF(AND($N$9=2,$N$21=4),CF53,IF(AND($N$9=2,$N$21=5),CG53,IF(AND($N$9=2,$N$21=11),CH53,IF(AND($N$9=2,$N$21=7),CI53,IF(AND($N$9=2,$N$21=3),CJ53,IF(AND($N$9=2,$N$21=6),CK53,IF(AND($N$9=2,$N$21=9),CL53,IF(AND($N$9=2,$N$21=2),CM53,IF(AND($N$9=2,$N$21=8),CN53,IF(AND($N$9=1,$N$21=1),CO53,IF(AND($N$9=1,$N$21=1),CO53,IF(AND($N$9=1,$N$21=4),CP53,IF(AND($N$9=1,$N$21=5),CQ53,IF(AND($N$9=1,$N$21=11),CR53,IF(AND($N$9=1,$N$21=7),CS53,IF(AND($N$9=1,$N$21=3),CT53,IF(AND($N$9=1,$N$21=6),CU53,IF(AND($N$9=1,$N$21=9),CV53,IF(AND($N$9=1,$N$21=2),CW53,IF(AND($N$9=1,$N$21=8),CX53,0)))))))))))))))))))))</f>
        <v>0</v>
      </c>
      <c r="CZ53" s="51"/>
      <c r="DA53" s="46"/>
      <c r="DB53" s="46"/>
      <c r="DC53" s="46"/>
      <c r="DD53" s="46"/>
      <c r="DE53" s="46"/>
      <c r="DF53" s="46"/>
      <c r="DG53" s="46"/>
      <c r="DH53" s="46"/>
      <c r="DJ53" s="46">
        <v>111120</v>
      </c>
      <c r="DK53" s="46">
        <v>111121</v>
      </c>
      <c r="DL53" s="46">
        <v>111122</v>
      </c>
      <c r="DM53" s="46">
        <v>111123</v>
      </c>
      <c r="DN53" s="46">
        <v>111124</v>
      </c>
      <c r="DO53" s="46">
        <v>111125</v>
      </c>
      <c r="DP53" s="46">
        <v>111126</v>
      </c>
      <c r="DQ53" s="46">
        <v>111127</v>
      </c>
      <c r="DR53" s="46">
        <v>111128</v>
      </c>
      <c r="DS53" s="229">
        <v>111129</v>
      </c>
      <c r="DT53" s="52">
        <f>IF(AND($N$9=2,$N$21=1),CZ53,IF(AND($N$9=2,$N$21=4),DA53,IF(AND($N$9=2,$N$21=5),DB53,IF(AND($N$9=2,$N$21=11),DC53,IF(AND($N$9=2,$N$21=7),DD53,IF(AND($N$9=2,$N$21=3),DE53,IF(AND($N$9=2,$N$21=6),DF53,IF(AND($N$9=2,$N$21=9),DG53,IF(AND($N$9=2,$N$21=2),DH53,IF(AND($N$9=2,$N$21=8),DI53,IF(AND($N$9=1,$N$21=1),DJ53,IF(AND($N$9=1,$N$21=1),DJ53,IF(AND($N$9=1,$N$21=4),DK53,IF(AND($N$9=1,$N$21=5),DL53,IF(AND($N$9=1,$N$21=11),DM53,IF(AND($N$9=1,$N$21=7),DN53,IF(AND($N$9=1,$N$21=3),DO53,IF(AND($N$9=1,$N$21=6),DP53,IF(AND($N$9=1,$N$21=9),DQ53,IF(AND($N$9=1,$N$21=2),DR53,IF(AND($N$9=1,$N$21=8),DS53,0)))))))))))))))))))))</f>
        <v>0</v>
      </c>
      <c r="DU53" s="51"/>
      <c r="DV53" s="46"/>
      <c r="DW53" s="46"/>
      <c r="DX53" s="46"/>
      <c r="DY53" s="46"/>
      <c r="DZ53" s="46"/>
      <c r="EA53" s="46"/>
      <c r="EB53" s="46"/>
      <c r="EC53" s="46"/>
      <c r="EE53" s="46">
        <v>111120</v>
      </c>
      <c r="EF53" s="46">
        <v>111121</v>
      </c>
      <c r="EG53" s="46">
        <v>111122</v>
      </c>
      <c r="EH53" s="46">
        <v>111123</v>
      </c>
      <c r="EI53" s="46">
        <v>111124</v>
      </c>
      <c r="EJ53" s="46">
        <v>111125</v>
      </c>
      <c r="EK53" s="46">
        <v>111126</v>
      </c>
      <c r="EL53" s="46">
        <v>111127</v>
      </c>
      <c r="EM53" s="46">
        <v>111128</v>
      </c>
      <c r="EN53" s="229">
        <v>111129</v>
      </c>
      <c r="EO53" s="52">
        <f>IF(AND($N$9=2,$N$21=1),DU53,IF(AND($N$9=2,$N$21=4),DV53,IF(AND($N$9=2,$N$21=5),DW53,IF(AND($N$9=2,$N$21=11),DX53,IF(AND($N$9=2,$N$21=7),DY53,IF(AND($N$9=2,$N$21=3),DZ53,IF(AND($N$9=2,$N$21=6),EA53,IF(AND($N$9=2,$N$21=9),EB53,IF(AND($N$9=2,$N$21=2),EC53,IF(AND($N$9=2,$N$21=8),ED53,IF(AND($N$9=1,$N$21=1),EE53,IF(AND($N$9=1,$N$21=1),EE53,IF(AND($N$9=1,$N$21=4),EF53,IF(AND($N$9=1,$N$21=5),EG53,IF(AND($N$9=1,$N$21=11),EH53,IF(AND($N$9=1,$N$21=7),EI53,IF(AND($N$9=1,$N$21=3),EJ53,IF(AND($N$9=1,$N$21=6),EK53,IF(AND($N$9=1,$N$21=9),EL53,IF(AND($N$9=1,$N$21=2),EM53,IF(AND($N$9=1,$N$21=8),EN53,0)))))))))))))))))))))</f>
        <v>0</v>
      </c>
      <c r="EP53" s="51">
        <v>111170</v>
      </c>
      <c r="EQ53" s="46"/>
      <c r="ER53" s="46"/>
      <c r="ES53" s="46"/>
      <c r="ET53" s="46"/>
      <c r="EU53" s="46"/>
      <c r="EV53" s="46"/>
      <c r="EW53" s="46"/>
      <c r="EX53" s="46"/>
      <c r="EZ53" s="46">
        <v>111160</v>
      </c>
      <c r="FA53" s="46">
        <v>111161</v>
      </c>
      <c r="FB53" s="46">
        <v>111162</v>
      </c>
      <c r="FC53" s="46">
        <v>111163</v>
      </c>
      <c r="FD53" s="46">
        <v>111164</v>
      </c>
      <c r="FE53" s="46">
        <v>111165</v>
      </c>
      <c r="FF53" s="46">
        <v>111166</v>
      </c>
      <c r="FG53" s="46">
        <v>111167</v>
      </c>
      <c r="FH53" s="46">
        <v>111168</v>
      </c>
      <c r="FI53" s="229">
        <v>111169</v>
      </c>
      <c r="FJ53" s="52">
        <f>IF(AND($N$9=2,$N$21=1),EP53,IF(AND($N$9=2,$N$21=4),EQ53,IF(AND($N$9=2,$N$21=5),ER53,IF(AND($N$9=2,$N$21=11),ES53,IF(AND($N$9=2,$N$21=7),ET53,IF(AND($N$9=2,$N$21=3),EU53,IF(AND($N$9=2,$N$21=6),EV53,IF(AND($N$9=2,$N$21=9),EW53,IF(AND($N$9=2,$N$21=2),EX53,IF(AND($N$9=2,$N$21=8),EY53,IF(AND($N$9=1,$N$21=1),EZ53,IF(AND($N$9=1,$N$21=1),EZ53,IF(AND($N$9=1,$N$21=4),FA53,IF(AND($N$9=1,$N$21=5),FB53,IF(AND($N$9=1,$N$21=11),FC53,IF(AND($N$9=1,$N$21=7),FD53,IF(AND($N$9=1,$N$21=3),FE53,IF(AND($N$9=1,$N$21=6),FF53,IF(AND($N$9=1,$N$21=9),FG53,IF(AND($N$9=1,$N$21=2),FH53,IF(AND($N$9=1,$N$21=8),FI53,0)))))))))))))))))))))</f>
        <v>0</v>
      </c>
      <c r="FK53" s="51"/>
      <c r="FL53" s="46"/>
      <c r="FM53" s="46"/>
      <c r="FN53" s="46"/>
      <c r="FO53" s="46"/>
      <c r="FP53" s="46"/>
      <c r="FQ53" s="46"/>
      <c r="FR53" s="46"/>
      <c r="FS53" s="46"/>
      <c r="FU53" s="46">
        <v>111160</v>
      </c>
      <c r="FV53" s="46">
        <v>111161</v>
      </c>
      <c r="FW53" s="46">
        <v>111162</v>
      </c>
      <c r="FX53" s="46">
        <v>111163</v>
      </c>
      <c r="FY53" s="46">
        <v>111164</v>
      </c>
      <c r="FZ53" s="46">
        <v>111165</v>
      </c>
      <c r="GA53" s="46">
        <v>111166</v>
      </c>
      <c r="GB53" s="46">
        <v>111167</v>
      </c>
      <c r="GC53" s="46">
        <v>111168</v>
      </c>
      <c r="GD53" s="229">
        <v>111169</v>
      </c>
      <c r="GE53" s="52">
        <f>IF(AND($N$9=2,$N$21=1),FK53,IF(AND($N$9=2,$N$21=4),FL53,IF(AND($N$9=2,$N$21=5),FM53,IF(AND($N$9=2,$N$21=11),FN53,IF(AND($N$9=2,$N$21=7),FO53,IF(AND($N$9=2,$N$21=3),FP53,IF(AND($N$9=2,$N$21=6),FQ53,IF(AND($N$9=2,$N$21=9),FR53,IF(AND($N$9=2,$N$21=2),FS53,IF(AND($N$9=2,$N$21=8),FT53,IF(AND($N$9=1,$N$21=1),FU53,IF(AND($N$9=1,$N$21=1),FU53,IF(AND($N$9=1,$N$21=4),FV53,IF(AND($N$9=1,$N$21=5),FW53,IF(AND($N$9=1,$N$21=11),FX53,IF(AND($N$9=1,$N$21=7),FY53,IF(AND($N$9=1,$N$21=3),FZ53,IF(AND($N$9=1,$N$21=6),GA53,IF(AND($N$9=1,$N$21=9),GB53,IF(AND($N$9=1,$N$21=2),GC53,IF(AND($N$9=1,$N$21=8),GD53,0)))))))))))))))))))))</f>
        <v>0</v>
      </c>
      <c r="GF53" s="51"/>
      <c r="GG53" s="46"/>
      <c r="GH53" s="46"/>
      <c r="GI53" s="46"/>
      <c r="GJ53" s="46"/>
      <c r="GK53" s="46"/>
      <c r="GL53" s="46"/>
      <c r="GM53" s="46"/>
      <c r="GN53" s="46"/>
      <c r="GP53" s="46">
        <v>111160</v>
      </c>
      <c r="GQ53" s="46">
        <v>111161</v>
      </c>
      <c r="GR53" s="46">
        <v>111162</v>
      </c>
      <c r="GS53" s="46">
        <v>111163</v>
      </c>
      <c r="GT53" s="46">
        <v>111164</v>
      </c>
      <c r="GU53" s="46">
        <v>111165</v>
      </c>
      <c r="GV53" s="46">
        <v>111166</v>
      </c>
      <c r="GW53" s="46">
        <v>111167</v>
      </c>
      <c r="GX53" s="46">
        <v>111168</v>
      </c>
      <c r="GY53" s="230">
        <v>111169</v>
      </c>
      <c r="GZ53" s="52">
        <f>IF(AND($N$9=2,$N$21=1),GF53,IF(AND($N$9=2,$N$21=4),GG53,IF(AND($N$9=2,$N$21=5),GH53,IF(AND($N$9=2,$N$21=11),GI53,IF(AND($N$9=2,$N$21=7),GJ53,IF(AND($N$9=2,$N$21=3),GK53,IF(AND($N$9=2,$N$21=6),GL53,IF(AND($N$9=2,$N$21=9),GM53,IF(AND($N$9=2,$N$21=2),GN53,IF(AND($N$9=2,$N$21=8),GO53,IF(AND($N$9=1,$N$21=1),GP53,IF(AND($N$9=1,$N$21=1),GP53,IF(AND($N$9=1,$N$21=4),GQ53,IF(AND($N$9=1,$N$21=5),GR53,IF(AND($N$9=1,$N$21=11),GS53,IF(AND($N$9=1,$N$21=7),GT53,IF(AND($N$9=1,$N$21=3),GU53,IF(AND($N$9=1,$N$21=6),GV53,IF(AND($N$9=1,$N$21=9),GW53,IF(AND($N$9=1,$N$21=2),GX53,IF(AND($N$9=1,$N$21=8),GY53,0)))))))))))))))))))))</f>
        <v>0</v>
      </c>
      <c r="HA53" s="51"/>
      <c r="HB53" s="46"/>
      <c r="HC53" s="46"/>
      <c r="HD53" s="46"/>
      <c r="HE53" s="46"/>
      <c r="HF53" s="46"/>
      <c r="HG53" s="46"/>
      <c r="HH53" s="46"/>
      <c r="HI53" s="46"/>
      <c r="HK53" s="46">
        <v>111280</v>
      </c>
      <c r="HL53" s="46">
        <v>111281</v>
      </c>
      <c r="HM53" s="46">
        <v>111282</v>
      </c>
      <c r="HN53" s="46">
        <v>111283</v>
      </c>
      <c r="HO53" s="46">
        <v>111284</v>
      </c>
      <c r="HP53" s="46">
        <v>111285</v>
      </c>
      <c r="HQ53" s="46">
        <v>111286</v>
      </c>
      <c r="HR53" s="46">
        <v>111287</v>
      </c>
      <c r="HS53" s="46">
        <v>111288</v>
      </c>
      <c r="HT53" s="230">
        <v>111289</v>
      </c>
      <c r="HU53" s="52">
        <f>IF(AND($N$9=2,$N$21=1),HA53,IF(AND($N$9=2,$N$21=4),HB53,IF(AND($N$9=2,$N$21=5),HC53,IF(AND($N$9=2,$N$21=11),HD53,IF(AND($N$9=2,$N$21=7),HE53,IF(AND($N$9=2,$N$21=3),HF53,IF(AND($N$9=2,$N$21=6),HG53,IF(AND($N$9=2,$N$21=9),HH53,IF(AND($N$9=2,$N$21=2),HI53,IF(AND($N$9=2,$N$21=8),HJ53,IF(AND($N$9=1,$N$21=1),HK53,IF(AND($N$9=1,$N$21=1),HK53,IF(AND($N$9=1,$N$21=4),HL53,IF(AND($N$9=1,$N$21=5),HM53,IF(AND($N$9=1,$N$21=11),HN53,IF(AND($N$9=1,$N$21=7),HO53,IF(AND($N$9=1,$N$21=3),HP53,IF(AND($N$9=1,$N$21=6),HQ53,IF(AND($N$9=1,$N$21=9),HR53,IF(AND($N$9=1,$N$21=2),HS53,IF(AND($N$9=1,$N$21=8),HT53,0)))))))))))))))))))))</f>
        <v>0</v>
      </c>
      <c r="HV53" s="51"/>
      <c r="HW53" s="46"/>
      <c r="HX53" s="46"/>
      <c r="HY53" s="46"/>
      <c r="HZ53" s="46"/>
      <c r="IA53" s="46"/>
      <c r="IB53" s="46"/>
      <c r="IC53" s="46"/>
      <c r="ID53" s="46"/>
      <c r="IF53" s="46">
        <v>111280</v>
      </c>
      <c r="IG53" s="46">
        <v>111281</v>
      </c>
      <c r="IH53" s="46">
        <v>111282</v>
      </c>
      <c r="II53" s="46">
        <v>111283</v>
      </c>
      <c r="IJ53" s="46">
        <v>111284</v>
      </c>
      <c r="IK53" s="46">
        <v>111285</v>
      </c>
      <c r="IL53" s="46">
        <v>111286</v>
      </c>
      <c r="IM53" s="46">
        <v>111287</v>
      </c>
      <c r="IN53" s="46">
        <v>111288</v>
      </c>
      <c r="IO53" s="230">
        <v>111289</v>
      </c>
      <c r="IP53" s="52">
        <f>IF(AND($N$9=2,$N$21=1),HV53,IF(AND($N$9=2,$N$21=4),HW53,IF(AND($N$9=2,$N$21=5),HX53,IF(AND($N$9=2,$N$21=11),HY53,IF(AND($N$9=2,$N$21=7),HZ53,IF(AND($N$9=2,$N$21=3),IA53,IF(AND($N$9=2,$N$21=6),IB53,IF(AND($N$9=2,$N$21=9),IC53,IF(AND($N$9=2,$N$21=2),ID53,IF(AND($N$9=2,$N$21=8),IE53,IF(AND($N$9=1,$N$21=1),IF53,IF(AND($N$9=1,$N$21=1),IF53,IF(AND($N$9=1,$N$21=4),IG53,IF(AND($N$9=1,$N$21=5),IH53,IF(AND($N$9=1,$N$21=11),II53,IF(AND($N$9=1,$N$21=7),IJ53,IF(AND($N$9=1,$N$21=3),IK53,IF(AND($N$9=1,$N$21=6),IL53,IF(AND($N$9=1,$N$21=9),IM53,IF(AND($N$9=1,$N$21=2),IN53,IF(AND($N$9=1,$N$21=8),IO53,0)))))))))))))))))))))</f>
        <v>0</v>
      </c>
      <c r="IQ53" s="51"/>
      <c r="IR53" s="46"/>
      <c r="IS53" s="46"/>
      <c r="IT53" s="46"/>
      <c r="IU53" s="46"/>
      <c r="IV53" s="46"/>
      <c r="IW53" s="46"/>
      <c r="IX53" s="46"/>
      <c r="IY53" s="46"/>
      <c r="JA53" s="46">
        <v>111180</v>
      </c>
      <c r="JB53" s="46">
        <v>111181</v>
      </c>
      <c r="JC53" s="46">
        <v>111182</v>
      </c>
      <c r="JD53" s="46">
        <v>111183</v>
      </c>
      <c r="JE53" s="46">
        <v>111184</v>
      </c>
      <c r="JF53" s="46">
        <v>111185</v>
      </c>
      <c r="JG53" s="46">
        <v>111186</v>
      </c>
      <c r="JH53" s="46">
        <v>111187</v>
      </c>
      <c r="JI53" s="46">
        <v>111188</v>
      </c>
      <c r="JJ53" s="230">
        <v>111189</v>
      </c>
      <c r="JK53" s="52">
        <f>IF(AND($N$9=2,$N$21=1),IQ53,IF(AND($N$9=2,$N$21=4),IR53,IF(AND($N$9=2,$N$21=5),IS53,IF(AND($N$9=2,$N$21=11),IT53,IF(AND($N$9=2,$N$21=7),IU53,IF(AND($N$9=2,$N$21=3),IV53,IF(AND($N$9=2,$N$21=6),IW53,IF(AND($N$9=2,$N$21=9),IX53,IF(AND($N$9=2,$N$21=2),IY53,IF(AND($N$9=2,$N$21=8),IZ53,IF(AND($N$9=1,$N$21=1),JA53,IF(AND($N$9=1,$N$21=1),JA53,IF(AND($N$9=1,$N$21=4),JB53,IF(AND($N$9=1,$N$21=5),JC53,IF(AND($N$9=1,$N$21=11),JD53,IF(AND($N$9=1,$N$21=7),JE53,IF(AND($N$9=1,$N$21=3),JF53,IF(AND($N$9=1,$N$21=6),JG53,IF(AND($N$9=1,$N$21=9),JH53,IF(AND($N$9=1,$N$21=2),JI53,IF(AND($N$9=1,$N$21=8),JJ53,0)))))))))))))))))))))</f>
        <v>0</v>
      </c>
      <c r="JL53" s="51"/>
      <c r="JM53" s="46"/>
      <c r="JN53" s="46"/>
      <c r="JO53" s="46"/>
      <c r="JP53" s="46"/>
      <c r="JQ53" s="46"/>
      <c r="JR53" s="46"/>
      <c r="JS53" s="46"/>
      <c r="JT53" s="46"/>
      <c r="JV53" s="46">
        <v>111180</v>
      </c>
      <c r="JW53" s="46">
        <v>111181</v>
      </c>
      <c r="JX53" s="46">
        <v>111182</v>
      </c>
      <c r="JY53" s="46">
        <v>111183</v>
      </c>
      <c r="JZ53" s="46">
        <v>111184</v>
      </c>
      <c r="KA53" s="46">
        <v>111185</v>
      </c>
      <c r="KB53" s="46">
        <v>111186</v>
      </c>
      <c r="KC53" s="46">
        <v>111187</v>
      </c>
      <c r="KD53" s="46">
        <v>111188</v>
      </c>
      <c r="KE53" s="230">
        <v>111189</v>
      </c>
      <c r="KF53" s="52">
        <f>IF(AND($N$9=2,$N$21=1),JL53,IF(AND($N$9=2,$N$21=4),JM53,IF(AND($N$9=2,$N$21=5),JN53,IF(AND($N$9=2,$N$21=11),JO53,IF(AND($N$9=2,$N$21=7),JP53,IF(AND($N$9=2,$N$21=3),JQ53,IF(AND($N$9=2,$N$21=6),JR53,IF(AND($N$9=2,$N$21=9),JS53,IF(AND($N$9=2,$N$21=2),JT53,IF(AND($N$9=2,$N$21=8),JU53,IF(AND($N$9=1,$N$21=1),JV53,IF(AND($N$9=1,$N$21=1),JV53,IF(AND($N$9=1,$N$21=4),JW53,IF(AND($N$9=1,$N$21=5),JX53,IF(AND($N$9=1,$N$21=11),JY53,IF(AND($N$9=1,$N$21=7),JZ53,IF(AND($N$9=1,$N$21=3),KA53,IF(AND($N$9=1,$N$21=6),KB53,IF(AND($N$9=1,$N$21=9),KC53,IF(AND($N$9=1,$N$21=2),KD53,IF(AND($N$9=1,$N$21=8),KE53,0)))))))))))))))))))))</f>
        <v>0</v>
      </c>
      <c r="KG53" s="51"/>
      <c r="KH53" s="46"/>
      <c r="KI53" s="46"/>
      <c r="KJ53" s="46"/>
      <c r="KK53" s="46"/>
      <c r="KL53" s="46"/>
      <c r="KM53" s="46"/>
      <c r="KN53" s="46"/>
      <c r="KO53" s="46"/>
      <c r="KQ53" s="46">
        <v>111180</v>
      </c>
      <c r="KR53" s="46">
        <v>111181</v>
      </c>
      <c r="KS53" s="46">
        <v>111182</v>
      </c>
      <c r="KT53" s="46">
        <v>111183</v>
      </c>
      <c r="KU53" s="46">
        <v>111184</v>
      </c>
      <c r="KV53" s="46">
        <v>111185</v>
      </c>
      <c r="KW53" s="46">
        <v>111186</v>
      </c>
      <c r="KX53" s="46">
        <v>111187</v>
      </c>
      <c r="KY53" s="46">
        <v>111188</v>
      </c>
      <c r="KZ53" s="230">
        <v>111189</v>
      </c>
      <c r="LA53" s="52">
        <f>IF(AND($N$9=2,$N$21=1),KG53,IF(AND($N$9=2,$N$21=4),KH53,IF(AND($N$9=2,$N$21=5),KI53,IF(AND($N$9=2,$N$21=11),KJ53,IF(AND($N$9=2,$N$21=7),KK53,IF(AND($N$9=2,$N$21=3),KL53,IF(AND($N$9=2,$N$21=6),KM53,IF(AND($N$9=2,$N$21=9),KN53,IF(AND($N$9=2,$N$21=2),KO53,IF(AND($N$9=2,$N$21=8),KP53,IF(AND($N$9=1,$N$21=1),KQ53,IF(AND($N$9=1,$N$21=1),KQ53,IF(AND($N$9=1,$N$21=4),KR53,IF(AND($N$9=1,$N$21=5),KS53,IF(AND($N$9=1,$N$21=11),KT53,IF(AND($N$9=1,$N$21=7),KU53,IF(AND($N$9=1,$N$21=3),KV53,IF(AND($N$9=1,$N$21=6),KW53,IF(AND($N$9=1,$N$21=9),KX53,IF(AND($N$9=1,$N$21=2),KY53,IF(AND($N$9=1,$N$21=8),KZ53,0)))))))))))))))))))))</f>
        <v>0</v>
      </c>
      <c r="LB53" s="51"/>
      <c r="LC53" s="46"/>
      <c r="LD53" s="46"/>
      <c r="LE53" s="46"/>
      <c r="LF53" s="46"/>
      <c r="LG53" s="46"/>
      <c r="LH53" s="46"/>
      <c r="LI53" s="46"/>
      <c r="LJ53" s="46"/>
      <c r="LL53" s="46">
        <v>111200</v>
      </c>
      <c r="LM53" s="46">
        <v>111201</v>
      </c>
      <c r="LN53" s="46">
        <v>111202</v>
      </c>
      <c r="LO53" s="46">
        <v>111203</v>
      </c>
      <c r="LP53" s="46">
        <v>111204</v>
      </c>
      <c r="LQ53" s="46">
        <v>111205</v>
      </c>
      <c r="LR53" s="46">
        <v>111206</v>
      </c>
      <c r="LS53" s="46">
        <v>111207</v>
      </c>
      <c r="LT53" s="46">
        <v>111208</v>
      </c>
      <c r="LU53" s="230">
        <v>111209</v>
      </c>
      <c r="LV53" s="52">
        <f>IF(AND($N$9=2,$N$21=1),LB53,IF(AND($N$9=2,$N$21=4),LC53,IF(AND($N$9=2,$N$21=5),LD53,IF(AND($N$9=2,$N$21=11),LE53,IF(AND($N$9=2,$N$21=7),LF53,IF(AND($N$9=2,$N$21=3),LG53,IF(AND($N$9=2,$N$21=6),LH53,IF(AND($N$9=2,$N$21=9),LI53,IF(AND($N$9=2,$N$21=2),LJ53,IF(AND($N$9=2,$N$21=8),LK53,IF(AND($N$9=1,$N$21=1),LL53,IF(AND($N$9=1,$N$21=1),LL53,IF(AND($N$9=1,$N$21=4),LM53,IF(AND($N$9=1,$N$21=5),LN53,IF(AND($N$9=1,$N$21=11),LO53,IF(AND($N$9=1,$N$21=7),LP53,IF(AND($N$9=1,$N$21=3),LQ53,IF(AND($N$9=1,$N$21=6),LR53,IF(AND($N$9=1,$N$21=9),LS53,IF(AND($N$9=1,$N$21=2),LT53,IF(AND($N$9=1,$N$21=8),LU53,0)))))))))))))))))))))</f>
        <v>0</v>
      </c>
      <c r="LW53" s="51"/>
      <c r="LX53" s="46"/>
      <c r="LY53" s="46"/>
      <c r="LZ53" s="46"/>
      <c r="MA53" s="46"/>
      <c r="MB53" s="46"/>
      <c r="MC53" s="46"/>
      <c r="MD53" s="46"/>
      <c r="ME53" s="46"/>
      <c r="MG53" s="46">
        <v>111220</v>
      </c>
      <c r="MH53" s="46">
        <v>111221</v>
      </c>
      <c r="MI53" s="46">
        <v>111222</v>
      </c>
      <c r="MJ53" s="46">
        <v>111223</v>
      </c>
      <c r="MK53" s="46">
        <v>111224</v>
      </c>
      <c r="ML53" s="46">
        <v>111225</v>
      </c>
      <c r="MM53" s="46">
        <v>111226</v>
      </c>
      <c r="MN53" s="46">
        <v>111227</v>
      </c>
      <c r="MO53" s="46">
        <v>111228</v>
      </c>
      <c r="MP53" s="230">
        <v>111229</v>
      </c>
      <c r="MQ53" s="52">
        <f>IF(AND($N$9=2,$N$21=1),LW53,IF(AND($N$9=2,$N$21=4),LX53,IF(AND($N$9=2,$N$21=5),LY53,IF(AND($N$9=2,$N$21=11),LZ53,IF(AND($N$9=2,$N$21=7),MA53,IF(AND($N$9=2,$N$21=3),MB53,IF(AND($N$9=2,$N$21=6),MC53,IF(AND($N$9=2,$N$21=9),MD53,IF(AND($N$9=2,$N$21=2),ME53,IF(AND($N$9=2,$N$21=8),MF53,IF(AND($N$9=1,$N$21=1),MG53,IF(AND($N$9=1,$N$21=1),MG53,IF(AND($N$9=1,$N$21=4),MH53,IF(AND($N$9=1,$N$21=5),MI53,IF(AND($N$9=1,$N$21=11),MJ53,IF(AND($N$9=1,$N$21=7),MK53,IF(AND($N$9=1,$N$21=3),ML53,IF(AND($N$9=1,$N$21=6),MM53,IF(AND($N$9=1,$N$21=9),MN53,IF(AND($N$9=1,$N$21=2),MO53,IF(AND($N$9=1,$N$21=8),MP53,0)))))))))))))))))))))</f>
        <v>0</v>
      </c>
      <c r="MR53" s="51"/>
      <c r="MS53" s="46"/>
      <c r="MT53" s="46"/>
      <c r="MU53" s="46"/>
      <c r="MV53" s="46"/>
      <c r="MW53" s="46"/>
      <c r="MX53" s="46"/>
      <c r="MY53" s="46"/>
      <c r="MZ53" s="46"/>
      <c r="NB53" s="46">
        <v>111220</v>
      </c>
      <c r="NC53" s="46">
        <v>111221</v>
      </c>
      <c r="ND53" s="46">
        <v>111222</v>
      </c>
      <c r="NE53" s="46">
        <v>111223</v>
      </c>
      <c r="NF53" s="46">
        <v>111224</v>
      </c>
      <c r="NG53" s="46">
        <v>111225</v>
      </c>
      <c r="NH53" s="46">
        <v>111226</v>
      </c>
      <c r="NI53" s="46">
        <v>111227</v>
      </c>
      <c r="NJ53" s="46">
        <v>111228</v>
      </c>
      <c r="NK53" s="230">
        <v>111229</v>
      </c>
      <c r="NL53" s="52">
        <f>IF(AND($N$9=2,$N$21=1),MR53,IF(AND($N$9=2,$N$21=4),MS53,IF(AND($N$9=2,$N$21=5),MT53,IF(AND($N$9=2,$N$21=11),MU53,IF(AND($N$9=2,$N$21=7),MV53,IF(AND($N$9=2,$N$21=3),MW53,IF(AND($N$9=2,$N$21=6),MX53,IF(AND($N$9=2,$N$21=9),MY53,IF(AND($N$9=2,$N$21=2),MZ53,IF(AND($N$9=2,$N$21=8),NA53,IF(AND($N$9=1,$N$21=1),NB53,IF(AND($N$9=1,$N$21=1),NB53,IF(AND($N$9=1,$N$21=4),NC53,IF(AND($N$9=1,$N$21=5),ND53,IF(AND($N$9=1,$N$21=11),NE53,IF(AND($N$9=1,$N$21=7),NF53,IF(AND($N$9=1,$N$21=3),NG53,IF(AND($N$9=1,$N$21=6),NH53,IF(AND($N$9=1,$N$21=9),NI53,IF(AND($N$9=1,$N$21=2),NJ53,IF(AND($N$9=1,$N$21=8),NK53,0)))))))))))))))))))))</f>
        <v>0</v>
      </c>
      <c r="NM53" s="51"/>
      <c r="NN53" s="46"/>
      <c r="NO53" s="46"/>
      <c r="NP53" s="46"/>
      <c r="NQ53" s="46"/>
      <c r="NR53" s="46"/>
      <c r="NS53" s="46"/>
      <c r="NT53" s="46"/>
      <c r="NU53" s="46"/>
      <c r="NW53" s="46">
        <v>111600</v>
      </c>
      <c r="NX53" s="46">
        <v>111601</v>
      </c>
      <c r="NY53" s="46">
        <v>111602</v>
      </c>
      <c r="NZ53" s="46">
        <v>111603</v>
      </c>
      <c r="OA53" s="46">
        <v>111604</v>
      </c>
      <c r="OB53" s="46">
        <v>111605</v>
      </c>
      <c r="OC53" s="46">
        <v>111606</v>
      </c>
      <c r="OD53" s="46">
        <v>111607</v>
      </c>
      <c r="OE53" s="46">
        <v>111608</v>
      </c>
      <c r="OF53" s="230">
        <v>111609</v>
      </c>
      <c r="OG53" s="52">
        <f>IF(AND($N$9=2,$N$21=1),NM53,IF(AND($N$9=2,$N$21=4),NN53,IF(AND($N$9=2,$N$21=5),NO53,IF(AND($N$9=2,$N$21=11),NP53,IF(AND($N$9=2,$N$21=7),NQ53,IF(AND($N$9=2,$N$21=3),NR53,IF(AND($N$9=2,$N$21=6),NS53,IF(AND($N$9=2,$N$21=9),NT53,IF(AND($N$9=2,$N$21=2),NU53,IF(AND($N$9=2,$N$21=8),NV53,IF(AND($N$9=1,$N$21=1),NW53,IF(AND($N$9=1,$N$21=1),NW53,IF(AND($N$9=1,$N$21=4),NX53,IF(AND($N$9=1,$N$21=5),NY53,IF(AND($N$9=1,$N$21=11),NZ53,IF(AND($N$9=1,$N$21=7),OA53,IF(AND($N$9=1,$N$21=3),OB53,IF(AND($N$9=1,$N$21=6),OC53,IF(AND($N$9=1,$N$21=9),OD53,IF(AND($N$9=1,$N$21=2),OE53,IF(AND($N$9=1,$N$21=8),OF53,0)))))))))))))))))))))</f>
        <v>0</v>
      </c>
      <c r="OH53" s="51"/>
      <c r="OI53" s="46"/>
      <c r="OJ53" s="46"/>
      <c r="OK53" s="46"/>
      <c r="OL53" s="46"/>
      <c r="OM53" s="46"/>
      <c r="ON53" s="46"/>
      <c r="OO53" s="46"/>
      <c r="OP53" s="46"/>
      <c r="OR53" s="46">
        <v>111240</v>
      </c>
      <c r="OS53" s="46">
        <v>111241</v>
      </c>
      <c r="OT53" s="46">
        <v>111242</v>
      </c>
      <c r="OU53" s="46">
        <v>111243</v>
      </c>
      <c r="OV53" s="46">
        <v>111244</v>
      </c>
      <c r="OW53" s="46">
        <v>111245</v>
      </c>
      <c r="OX53" s="46">
        <v>111246</v>
      </c>
      <c r="OY53" s="46">
        <v>111247</v>
      </c>
      <c r="OZ53" s="46">
        <v>111248</v>
      </c>
      <c r="PA53" s="230">
        <v>111249</v>
      </c>
      <c r="PB53" s="52">
        <f>IF(AND($N$9=2,$N$21=1),OH53,IF(AND($N$9=2,$N$21=4),OI53,IF(AND($N$9=2,$N$21=5),OJ53,IF(AND($N$9=2,$N$21=11),OK53,IF(AND($N$9=2,$N$21=7),OL53,IF(AND($N$9=2,$N$21=3),OM53,IF(AND($N$9=2,$N$21=6),ON53,IF(AND($N$9=2,$N$21=9),OO53,IF(AND($N$9=2,$N$21=2),OP53,IF(AND($N$9=2,$N$21=8),OQ53,IF(AND($N$9=1,$N$21=1),OR53,IF(AND($N$9=1,$N$21=1),OR53,IF(AND($N$9=1,$N$21=4),OS53,IF(AND($N$9=1,$N$21=5),OT53,IF(AND($N$9=1,$N$21=11),OU53,IF(AND($N$9=1,$N$21=7),OV53,IF(AND($N$9=1,$N$21=3),OW53,IF(AND($N$9=1,$N$21=6),OX53,IF(AND($N$9=1,$N$21=9),OY53,IF(AND($N$9=1,$N$21=2),OZ53,IF(AND($N$9=1,$N$21=8),PA53,0)))))))))))))))))))))</f>
        <v>0</v>
      </c>
      <c r="PC53" s="51"/>
      <c r="PD53" s="46"/>
      <c r="PE53" s="46"/>
      <c r="PF53" s="46"/>
      <c r="PG53" s="46"/>
      <c r="PH53" s="46"/>
      <c r="PI53" s="46"/>
      <c r="PJ53" s="46"/>
      <c r="PK53" s="46"/>
      <c r="PM53" s="46">
        <v>111240</v>
      </c>
      <c r="PN53" s="46">
        <v>111241</v>
      </c>
      <c r="PO53" s="46">
        <v>111242</v>
      </c>
      <c r="PP53" s="46">
        <v>111243</v>
      </c>
      <c r="PQ53" s="46">
        <v>111244</v>
      </c>
      <c r="PR53" s="46">
        <v>111245</v>
      </c>
      <c r="PS53" s="46">
        <v>111246</v>
      </c>
      <c r="PT53" s="46">
        <v>111247</v>
      </c>
      <c r="PU53" s="46">
        <v>111248</v>
      </c>
      <c r="PV53" s="230">
        <v>111249</v>
      </c>
      <c r="PW53" s="52">
        <f>IF(AND($N$9=2,$N$21=1),PC53,IF(AND($N$9=2,$N$21=4),PD53,IF(AND($N$9=2,$N$21=5),PE53,IF(AND($N$9=2,$N$21=11),PF53,IF(AND($N$9=2,$N$21=7),PG53,IF(AND($N$9=2,$N$21=3),PH53,IF(AND($N$9=2,$N$21=6),PI53,IF(AND($N$9=2,$N$21=9),PJ53,IF(AND($N$9=2,$N$21=2),PK53,IF(AND($N$9=2,$N$21=8),PL53,IF(AND($N$9=1,$N$21=1),PM53,IF(AND($N$9=1,$N$21=1),PM53,IF(AND($N$9=1,$N$21=4),PN53,IF(AND($N$9=1,$N$21=5),PO53,IF(AND($N$9=1,$N$21=11),PP53,IF(AND($N$9=1,$N$21=7),PQ53,IF(AND($N$9=1,$N$21=3),PR53,IF(AND($N$9=1,$N$21=6),PS53,IF(AND($N$9=1,$N$21=9),PT53,IF(AND($N$9=1,$N$21=2),PU53,IF(AND($N$9=1,$N$21=8),PV53,0)))))))))))))))))))))</f>
        <v>0</v>
      </c>
      <c r="PX53" s="51"/>
      <c r="PY53" s="46"/>
      <c r="PZ53" s="46"/>
      <c r="QA53" s="46"/>
      <c r="QB53" s="46"/>
      <c r="QC53" s="46"/>
      <c r="QD53" s="46"/>
      <c r="QE53" s="46"/>
      <c r="QF53" s="46"/>
      <c r="QH53" s="46">
        <v>111620</v>
      </c>
      <c r="QI53" s="46">
        <v>111621</v>
      </c>
      <c r="QJ53" s="46">
        <v>111622</v>
      </c>
      <c r="QK53" s="46">
        <v>111623</v>
      </c>
      <c r="QL53" s="46">
        <v>111624</v>
      </c>
      <c r="QM53" s="46">
        <v>111625</v>
      </c>
      <c r="QN53" s="46">
        <v>111626</v>
      </c>
      <c r="QO53" s="46">
        <v>111627</v>
      </c>
      <c r="QP53" s="46">
        <v>111628</v>
      </c>
      <c r="QQ53" s="230">
        <v>111629</v>
      </c>
      <c r="QR53" s="52">
        <f>IF(AND($N$9=2,$N$21=1),PX53,IF(AND($N$9=2,$N$21=4),PY53,IF(AND($N$9=2,$N$21=5),PZ53,IF(AND($N$9=2,$N$21=11),QA53,IF(AND($N$9=2,$N$21=7),QB53,IF(AND($N$9=2,$N$21=3),QC53,IF(AND($N$9=2,$N$21=6),QD53,IF(AND($N$9=2,$N$21=9),QE53,IF(AND($N$9=2,$N$21=2),QF53,IF(AND($N$9=2,$N$21=8),QG53,IF(AND($N$9=1,$N$21=1),QH53,IF(AND($N$9=1,$N$21=1),QH53,IF(AND($N$9=1,$N$21=4),QI53,IF(AND($N$9=1,$N$21=5),QJ53,IF(AND($N$9=1,$N$21=11),QK53,IF(AND($N$9=1,$N$21=7),QL53,IF(AND($N$9=1,$N$21=3),QM53,IF(AND($N$9=1,$N$21=6),QN53,IF(AND($N$9=1,$N$21=9),QO53,IF(AND($N$9=1,$N$21=2),QP53,IF(AND($N$9=1,$N$21=8),QQ53,0)))))))))))))))))))))</f>
        <v>0</v>
      </c>
    </row>
    <row r="54" spans="1:460" ht="32.1" customHeight="1">
      <c r="A54" s="118"/>
      <c r="B54" s="96" t="str">
        <f>VLOOKUP("Stk",Sprachindex!A:Z,Info!$O$6,FALSE)</f>
        <v>STK</v>
      </c>
      <c r="C54" s="95"/>
      <c r="D54" s="95">
        <f>IF(OR(J54=Formeln!$A$51,J54=Formeln!$A$52,J54=Formeln!$A$53,J54=Formeln!$A$77,J54=Formeln!$A$78,J54=Formeln!$A$79),AN54,IF(OR(J54=Formeln!$A$54,J54=Formeln!$A$55,J54=Formeln!$A$56,J54=Formeln!$A$80,J54=Formeln!$A$81,J54=Formeln!$A$82),BI54,IF(OR(J54=Formeln!$A$57,J54=Formeln!$A$58,J54=Formeln!$A$59,J54=Formeln!$A$83,J54=Formeln!$A$84,J54=Formeln!$A$85),CD54,IF(OR(J54=Formeln!$A$60,J54=Formeln!$A$61,J54=Formeln!$A$86,J54=Formeln!$A$87),CY54,IF(OR(J54=Formeln!$A$62,J54=Formeln!$A$63,J54=Formeln!$A$64,J54=Formeln!$A$88,J54=Formeln!$A$89,J54=Formeln!$A$90),DT54,IF(OR(J54=Formeln!$A$65,J54=Formeln!$A$66,J54=Formeln!$A$91,J54=Formeln!$A$92),EO54,IF(OR(J54=Formeln!$A$67,J54=Formeln!$A$68,J54=Formeln!$A$69,J54=Formeln!$A$70,J54=Formeln!$A$71,J54=Formeln!$A$93,J54=Formeln!$A$94,J54=Formeln!$A$95,J54=Formeln!$A$96,J54=Formeln!$A$97),FJ54,IF(OR(J54=Formeln!$A$72,J54=Formeln!$A$73,J54=Formeln!$A$74,J54=Formeln!$A$98,J54=Formeln!$A$99,J54=Formeln!$A$100),GE54,0))))))))</f>
        <v>0</v>
      </c>
      <c r="E54" s="250" t="str">
        <f>VLOOKUP("ROTO Einfassung",Sprachindex!A:Z,Info!$O$6,FALSE)</f>
        <v>ROTO Einfassung</v>
      </c>
      <c r="F54" s="251"/>
      <c r="G54" s="251"/>
      <c r="H54" s="251"/>
      <c r="I54" s="101" t="str">
        <f>VLOOKUP("Maße:",Sprachindex!A:Z,Info!$O$6,FALSE)</f>
        <v>Maße:</v>
      </c>
      <c r="J54" s="252"/>
      <c r="K54" s="253"/>
      <c r="L54" s="96" t="str">
        <f>IF($A54=0,"",IF($J54=Formeln!$A$49," ",IF($N$11=1,P54,Q54)))</f>
        <v/>
      </c>
      <c r="M54" s="97"/>
      <c r="O54" s="1"/>
      <c r="P54" s="191" t="str">
        <f>ROUNDUP($A54,0) &amp;" " &amp; Formeln!$A$111</f>
        <v>0 STK</v>
      </c>
      <c r="Q54" s="191" t="str">
        <f>ROUNDUP($A54,0) &amp;" " &amp; Formeln!$A$111</f>
        <v>0 STK</v>
      </c>
      <c r="T54" s="46"/>
      <c r="U54" s="46"/>
      <c r="V54" s="46"/>
      <c r="W54" s="46"/>
      <c r="X54" s="46"/>
      <c r="Y54" s="46"/>
      <c r="Z54" s="46"/>
      <c r="AA54" s="46"/>
      <c r="AB54" s="46"/>
      <c r="AD54" s="46">
        <v>111300</v>
      </c>
      <c r="AE54" s="46">
        <v>111301</v>
      </c>
      <c r="AF54" s="46">
        <v>111302</v>
      </c>
      <c r="AG54" s="46">
        <v>111303</v>
      </c>
      <c r="AH54" s="46">
        <v>111304</v>
      </c>
      <c r="AI54" s="46">
        <v>111305</v>
      </c>
      <c r="AJ54" s="46">
        <v>111306</v>
      </c>
      <c r="AK54" s="46">
        <v>111307</v>
      </c>
      <c r="AL54" s="46">
        <v>111308</v>
      </c>
      <c r="AM54" s="229">
        <v>111309</v>
      </c>
      <c r="AN54" s="52">
        <f>IF(AND($N$9=2,$N$21=1),T54,IF(AND($N$9=2,$N$21=4),U54,IF(AND($N$9=2,$N$21=5),V54,IF(AND($N$9=2,$N$21=11),W54,IF(AND($N$9=2,$N$21=7),X54,IF(AND($N$9=2,$N$21=3),Y54,IF(AND($N$9=2,$N$21=6),Z54,IF(AND($N$9=2,$N$21=9),AA54,IF(AND($N$9=2,$N$21=2),AB54,IF(AND($N$9=2,$N$21=8),AC54,IF(AND($N$9=1,$N$21=1),AD54,IF(AND($N$9=1,$N$21=1),AD54,IF(AND($N$9=1,$N$21=4),AE54,IF(AND($N$9=1,$N$21=5),AF54,IF(AND($N$9=1,$N$21=11),AG54,IF(AND($N$9=1,$N$21=7),AH54,IF(AND($N$9=1,$N$21=3),AI54,IF(AND($N$9=1,$N$21=6),AJ54,IF(AND($N$9=1,$N$21=9),AK54,IF(AND($N$9=1,$N$21=2),AL54,IF(AND($N$9=1,$N$21=8),AM54,0)))))))))))))))))))))</f>
        <v>0</v>
      </c>
      <c r="AO54" s="46"/>
      <c r="AP54" s="46"/>
      <c r="AQ54" s="46"/>
      <c r="AR54" s="46"/>
      <c r="AS54" s="46"/>
      <c r="AT54" s="46"/>
      <c r="AU54" s="46"/>
      <c r="AV54" s="46"/>
      <c r="AW54" s="46"/>
      <c r="AY54" s="46">
        <v>111320</v>
      </c>
      <c r="AZ54" s="46">
        <v>111321</v>
      </c>
      <c r="BA54" s="46">
        <v>111322</v>
      </c>
      <c r="BB54" s="46">
        <v>111323</v>
      </c>
      <c r="BC54" s="46">
        <v>111324</v>
      </c>
      <c r="BD54" s="46">
        <v>111325</v>
      </c>
      <c r="BE54" s="46">
        <v>111326</v>
      </c>
      <c r="BF54" s="46">
        <v>111327</v>
      </c>
      <c r="BG54" s="46">
        <v>111328</v>
      </c>
      <c r="BH54" s="229">
        <v>111329</v>
      </c>
      <c r="BI54" s="52">
        <f>IF(AND($N$9=2,$N$21=1),AO54,IF(AND($N$9=2,$N$21=4),AP54,IF(AND($N$9=2,$N$21=5),AQ54,IF(AND($N$9=2,$N$21=11),AR54,IF(AND($N$9=2,$N$21=7),AS54,IF(AND($N$9=2,$N$21=3),AT54,IF(AND($N$9=2,$N$21=6),AU54,IF(AND($N$9=2,$N$21=9),AV54,IF(AND($N$9=2,$N$21=2),AW54,IF(AND($N$9=2,$N$21=8),AX54,IF(AND($N$9=1,$N$21=1),AY54,IF(AND($N$9=1,$N$21=1),AY54,IF(AND($N$9=1,$N$21=4),AZ54,IF(AND($N$9=1,$N$21=5),BA54,IF(AND($N$9=1,$N$21=11),BB54,IF(AND($N$9=1,$N$21=7),BC54,IF(AND($N$9=1,$N$21=3),BD54,IF(AND($N$9=1,$N$21=6),BE54,IF(AND($N$9=1,$N$21=9),BF54,IF(AND($N$9=1,$N$21=2),BG54,IF(AND($N$9=1,$N$21=8),BH54,0)))))))))))))))))))))</f>
        <v>0</v>
      </c>
      <c r="BJ54" s="46"/>
      <c r="BK54" s="46"/>
      <c r="BL54" s="46"/>
      <c r="BM54" s="46"/>
      <c r="BN54" s="46"/>
      <c r="BO54" s="46"/>
      <c r="BP54" s="46"/>
      <c r="BQ54" s="46"/>
      <c r="BR54" s="46"/>
      <c r="BT54" s="46">
        <v>111340</v>
      </c>
      <c r="BU54" s="46">
        <v>111341</v>
      </c>
      <c r="BV54" s="46">
        <v>111342</v>
      </c>
      <c r="BW54" s="46">
        <v>111343</v>
      </c>
      <c r="BX54" s="46">
        <v>111344</v>
      </c>
      <c r="BY54" s="46">
        <v>111345</v>
      </c>
      <c r="BZ54" s="46">
        <v>111346</v>
      </c>
      <c r="CA54" s="46">
        <v>111347</v>
      </c>
      <c r="CB54" s="46">
        <v>111348</v>
      </c>
      <c r="CC54" s="229">
        <v>111349</v>
      </c>
      <c r="CD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BT54,IF(AND($N$9=1,$N$21=1),BT54,IF(AND($N$9=1,$N$21=4),BU54,IF(AND($N$9=1,$N$21=5),BV54,IF(AND($N$9=1,$N$21=11),BW54,IF(AND($N$9=1,$N$21=7),BX54,IF(AND($N$9=1,$N$21=3),BY54,IF(AND($N$9=1,$N$21=6),BZ54,IF(AND($N$9=1,$N$21=9),CA54,IF(AND($N$9=1,$N$21=2),CB54,IF(AND($N$9=1,$N$21=8),CC54,0)))))))))))))))))))))</f>
        <v>0</v>
      </c>
      <c r="CE54" s="46"/>
      <c r="CF54" s="46"/>
      <c r="CG54" s="46"/>
      <c r="CH54" s="46"/>
      <c r="CI54" s="46"/>
      <c r="CJ54" s="46"/>
      <c r="CK54" s="46"/>
      <c r="CL54" s="46"/>
      <c r="CM54" s="46"/>
      <c r="CO54" s="46">
        <v>111360</v>
      </c>
      <c r="CP54" s="46">
        <v>111361</v>
      </c>
      <c r="CQ54" s="46">
        <v>111362</v>
      </c>
      <c r="CR54" s="46">
        <v>111363</v>
      </c>
      <c r="CS54" s="46">
        <v>111364</v>
      </c>
      <c r="CT54" s="46">
        <v>111365</v>
      </c>
      <c r="CU54" s="46">
        <v>111366</v>
      </c>
      <c r="CV54" s="46">
        <v>111367</v>
      </c>
      <c r="CW54" s="46">
        <v>111368</v>
      </c>
      <c r="CX54" s="229">
        <v>111369</v>
      </c>
      <c r="CY54" s="52">
        <f>IF(AND($N$9=2,$N$21=1),BJ54,IF(AND($N$9=2,$N$21=4),BK54,IF(AND($N$9=2,$N$21=5),BL54,IF(AND($N$9=2,$N$21=11),BM54,IF(AND($N$9=2,$N$21=7),BN54,IF(AND($N$9=2,$N$21=3),BO54,IF(AND($N$9=2,$N$21=6),BP54,IF(AND($N$9=2,$N$21=9),BQ54,IF(AND($N$9=2,$N$21=2),BR54,IF(AND($N$9=2,$N$21=8),BS54,IF(AND($N$9=1,$N$21=1),CO54,IF(AND($N$9=1,$N$21=1),CO54,IF(AND($N$9=1,$N$21=4),CP54,IF(AND($N$9=1,$N$21=5),CQ54,IF(AND($N$9=1,$N$21=11),CR54,IF(AND($N$9=1,$N$21=7),CS54,IF(AND($N$9=1,$N$21=3),CT54,IF(AND($N$9=1,$N$21=6),CU54,IF(AND($N$9=1,$N$21=9),CV54,IF(AND($N$9=1,$N$21=2),CW54,IF(AND($N$9=1,$N$21=8),CX54,0)))))))))))))))))))))</f>
        <v>0</v>
      </c>
      <c r="DJ54" s="46">
        <v>111380</v>
      </c>
      <c r="DK54" s="46">
        <v>111381</v>
      </c>
      <c r="DL54" s="46">
        <v>111382</v>
      </c>
      <c r="DM54" s="46">
        <v>111383</v>
      </c>
      <c r="DN54" s="46">
        <v>111384</v>
      </c>
      <c r="DO54" s="46">
        <v>111385</v>
      </c>
      <c r="DP54" s="46">
        <v>111386</v>
      </c>
      <c r="DQ54" s="46">
        <v>111387</v>
      </c>
      <c r="DR54" s="46">
        <v>111388</v>
      </c>
      <c r="DS54" s="229">
        <v>111389</v>
      </c>
      <c r="DT54" s="52">
        <f>IF(AND($N$9=2,$N$21=1),CE54,IF(AND($N$9=2,$N$21=4),CF54,IF(AND($N$9=2,$N$21=5),CG54,IF(AND($N$9=2,$N$21=11),CH54,IF(AND($N$9=2,$N$21=7),CI54,IF(AND($N$9=2,$N$21=3),CJ54,IF(AND($N$9=2,$N$21=6),CK54,IF(AND($N$9=2,$N$21=9),CL54,IF(AND($N$9=2,$N$21=2),CM54,IF(AND($N$9=2,$N$21=8),CN54,IF(AND($N$9=1,$N$21=1),DJ54,IF(AND($N$9=1,$N$21=1),DJ54,IF(AND($N$9=1,$N$21=4),DK54,IF(AND($N$9=1,$N$21=5),DL54,IF(AND($N$9=1,$N$21=11),DM54,IF(AND($N$9=1,$N$21=7),DN54,IF(AND($N$9=1,$N$21=3),DO54,IF(AND($N$9=1,$N$21=6),DP54,IF(AND($N$9=1,$N$21=9),DQ54,IF(AND($N$9=1,$N$21=2),DR54,IF(AND($N$9=1,$N$21=8),DS54,0)))))))))))))))))))))</f>
        <v>0</v>
      </c>
      <c r="DU54" s="46"/>
      <c r="DV54" s="46"/>
      <c r="DW54" s="46"/>
      <c r="DX54" s="46"/>
      <c r="DY54" s="46"/>
      <c r="DZ54" s="46"/>
      <c r="EA54" s="46"/>
      <c r="EB54" s="46"/>
      <c r="EC54" s="46"/>
      <c r="EE54" s="46">
        <v>111400</v>
      </c>
      <c r="EF54" s="46">
        <v>111401</v>
      </c>
      <c r="EG54" s="46">
        <v>111402</v>
      </c>
      <c r="EH54" s="46">
        <v>111403</v>
      </c>
      <c r="EI54" s="46">
        <v>111404</v>
      </c>
      <c r="EJ54" s="46">
        <v>111405</v>
      </c>
      <c r="EK54" s="46">
        <v>111406</v>
      </c>
      <c r="EL54" s="46">
        <v>111407</v>
      </c>
      <c r="EM54" s="46">
        <v>111408</v>
      </c>
      <c r="EN54" s="229">
        <v>111409</v>
      </c>
      <c r="EO54" s="52">
        <f>IF(AND($N$9=2,$N$21=1),DU54,IF(AND($N$9=2,$N$21=4),DV54,IF(AND($N$9=2,$N$21=5),DW54,IF(AND($N$9=2,$N$21=11),DX54,IF(AND($N$9=2,$N$21=7),DY54,IF(AND($N$9=2,$N$21=3),DZ54,IF(AND($N$9=2,$N$21=6),EA54,IF(AND($N$9=2,$N$21=9),EB54,IF(AND($N$9=2,$N$21=2),EC54,IF(AND($N$9=2,$N$21=8),ED54,IF(AND($N$9=1,$N$21=1),EE54,IF(AND($N$9=1,$N$21=1),EE54,IF(AND($N$9=1,$N$21=4),EF54,IF(AND($N$9=1,$N$21=5),EG54,IF(AND($N$9=1,$N$21=11),EH54,IF(AND($N$9=1,$N$21=7),EI54,IF(AND($N$9=1,$N$21=3),EJ54,IF(AND($N$9=1,$N$21=6),EK54,IF(AND($N$9=1,$N$21=9),EL54,IF(AND($N$9=1,$N$21=2),EM54,IF(AND($N$9=1,$N$21=8),EN54,0)))))))))))))))))))))</f>
        <v>0</v>
      </c>
      <c r="EP54" s="46"/>
      <c r="EQ54" s="46"/>
      <c r="ER54" s="46"/>
      <c r="ES54" s="46"/>
      <c r="ET54" s="46"/>
      <c r="EU54" s="46"/>
      <c r="EV54" s="46"/>
      <c r="EW54" s="46"/>
      <c r="EX54" s="46"/>
      <c r="EZ54" s="46">
        <v>111420</v>
      </c>
      <c r="FA54" s="46">
        <v>111421</v>
      </c>
      <c r="FB54" s="46">
        <v>111422</v>
      </c>
      <c r="FC54" s="46">
        <v>111423</v>
      </c>
      <c r="FD54" s="46">
        <v>111424</v>
      </c>
      <c r="FE54" s="46">
        <v>111425</v>
      </c>
      <c r="FF54" s="46">
        <v>111426</v>
      </c>
      <c r="FG54" s="46">
        <v>111427</v>
      </c>
      <c r="FH54" s="46">
        <v>111428</v>
      </c>
      <c r="FI54" s="229">
        <v>111429</v>
      </c>
      <c r="FJ54" s="52">
        <f>IF(AND($N$9=2,$N$21=1),EP54,IF(AND($N$9=2,$N$21=4),EQ54,IF(AND($N$9=2,$N$21=5),ER54,IF(AND($N$9=2,$N$21=11),ES54,IF(AND($N$9=2,$N$21=7),ET54,IF(AND($N$9=2,$N$21=3),EU54,IF(AND($N$9=2,$N$21=6),EV54,IF(AND($N$9=2,$N$21=9),EW54,IF(AND($N$9=2,$N$21=2),EX54,IF(AND($N$9=2,$N$21=8),EY54,IF(AND($N$9=1,$N$21=1),EZ54,IF(AND($N$9=1,$N$21=1),EZ54,IF(AND($N$9=1,$N$21=4),FA54,IF(AND($N$9=1,$N$21=5),FB54,IF(AND($N$9=1,$N$21=11),FC54,IF(AND($N$9=1,$N$21=7),FD54,IF(AND($N$9=1,$N$21=3),FE54,IF(AND($N$9=1,$N$21=6),FF54,IF(AND($N$9=1,$N$21=9),FG54,IF(AND($N$9=1,$N$21=2),FH54,IF(AND($N$9=1,$N$21=8),FI54,0)))))))))))))))))))))</f>
        <v>0</v>
      </c>
      <c r="FK54" s="46"/>
      <c r="FL54" s="46"/>
      <c r="FM54" s="46"/>
      <c r="FN54" s="46"/>
      <c r="FO54" s="46"/>
      <c r="FP54" s="46"/>
      <c r="FQ54" s="46"/>
      <c r="FR54" s="46"/>
      <c r="FS54" s="46"/>
      <c r="FU54" s="46">
        <v>111440</v>
      </c>
      <c r="FV54" s="46">
        <v>111441</v>
      </c>
      <c r="FW54" s="46">
        <v>111442</v>
      </c>
      <c r="FX54" s="46">
        <v>111443</v>
      </c>
      <c r="FY54" s="46">
        <v>111444</v>
      </c>
      <c r="FZ54" s="46">
        <v>111445</v>
      </c>
      <c r="GA54" s="46">
        <v>111446</v>
      </c>
      <c r="GB54" s="46">
        <v>111447</v>
      </c>
      <c r="GC54" s="46">
        <v>111448</v>
      </c>
      <c r="GD54" s="229">
        <v>111449</v>
      </c>
      <c r="GE54" s="52">
        <f>IF(AND($N$9=2,$N$21=1),FK54,IF(AND($N$9=2,$N$21=4),FL54,IF(AND($N$9=2,$N$21=5),FM54,IF(AND($N$9=2,$N$21=11),FN54,IF(AND($N$9=2,$N$21=7),FO54,IF(AND($N$9=2,$N$21=3),FP54,IF(AND($N$9=2,$N$21=6),FQ54,IF(AND($N$9=2,$N$21=9),FR54,IF(AND($N$9=2,$N$21=2),FS54,IF(AND($N$9=2,$N$21=8),FT54,IF(AND($N$9=1,$N$21=1),FU54,IF(AND($N$9=1,$N$21=1),FU54,IF(AND($N$9=1,$N$21=4),FV54,IF(AND($N$9=1,$N$21=5),FW54,IF(AND($N$9=1,$N$21=11),FX54,IF(AND($N$9=1,$N$21=7),FY54,IF(AND($N$9=1,$N$21=3),FZ54,IF(AND($N$9=1,$N$21=6),GA54,IF(AND($N$9=1,$N$21=9),GB54,IF(AND($N$9=1,$N$21=2),GC54,IF(AND($N$9=1,$N$21=8),GD54,0)))))))))))))))))))))</f>
        <v>0</v>
      </c>
      <c r="GZ54" s="52"/>
      <c r="HU54" s="52"/>
      <c r="IP54" s="52"/>
      <c r="JK54" s="52"/>
      <c r="KF54" s="52"/>
      <c r="LA54" s="52"/>
      <c r="LV54" s="52"/>
      <c r="MQ54" s="52"/>
      <c r="NL54" s="52"/>
      <c r="OG54" s="52"/>
      <c r="PB54" s="52"/>
      <c r="PW54" s="52"/>
      <c r="QR54" s="52"/>
    </row>
    <row r="55" spans="1:460" ht="32.1" customHeight="1">
      <c r="A55" s="118"/>
      <c r="B55" s="96" t="str">
        <f>VLOOKUP("Stk",Sprachindex!A:Z,Info!$O$6,FALSE)</f>
        <v>STK</v>
      </c>
      <c r="C55" s="95"/>
      <c r="D55" s="95">
        <v>111700</v>
      </c>
      <c r="E55" s="250" t="str">
        <f>VLOOKUP("ROTO Einfassung-Q-Serie",Sprachindex!A:Z,Info!$O$6,FALSE)</f>
        <v>ROTO Einfassung-Q-Serie</v>
      </c>
      <c r="F55" s="251"/>
      <c r="G55" s="251"/>
      <c r="H55" s="251"/>
      <c r="I55" s="101" t="str">
        <f>VLOOKUP("Maße:",Sprachindex!A:Z,Info!$O$6,FALSE)</f>
        <v>Maße:</v>
      </c>
      <c r="J55" s="252"/>
      <c r="K55" s="253"/>
      <c r="L55" s="96" t="str">
        <f>IF($A55=0,"",IF($J55=Formeln!$A$49," ",IF($N$11=1,P55,Q55)))</f>
        <v/>
      </c>
      <c r="M55" s="97"/>
      <c r="O55" s="1"/>
      <c r="P55" s="191" t="str">
        <f>ROUNDUP($A55,0) &amp;" " &amp; Formeln!$A$111</f>
        <v>0 STK</v>
      </c>
      <c r="Q55" s="191" t="str">
        <f>ROUNDUP($A55,0) &amp;" " &amp; Formeln!$A$111</f>
        <v>0 STK</v>
      </c>
      <c r="T55" s="46"/>
      <c r="U55" s="46"/>
      <c r="V55" s="46"/>
      <c r="W55" s="46"/>
      <c r="X55" s="46"/>
      <c r="Y55" s="46"/>
      <c r="Z55" s="46"/>
      <c r="AA55" s="46"/>
      <c r="AB55" s="46"/>
      <c r="AD55" s="161"/>
      <c r="AE55" s="161"/>
      <c r="AF55" s="161"/>
      <c r="AG55" s="161"/>
      <c r="AH55" s="161"/>
      <c r="AI55" s="161"/>
      <c r="AJ55" s="161"/>
      <c r="AK55" s="161"/>
      <c r="AL55" s="161"/>
      <c r="AM55" s="231"/>
      <c r="AN55" s="52">
        <f>IF(AND($N$9=2,$N$21=1),T55,IF(AND($N$9=2,$N$21=4),U55,IF(AND($N$9=2,$N$21=5),V55,IF(AND($N$9=2,$N$21=11),W55,IF(AND($N$9=2,$N$21=7),X55,IF(AND($N$9=2,$N$21=3),Y55,IF(AND($N$9=2,$N$21=6),Z55,IF(AND($N$9=2,$N$21=9),AA55,IF(AND($N$9=2,$N$21=2),AB55,IF(AND($N$9=2,$N$21=8),AC55,IF(AND($N$9=1,$N$21=1),AD55,IF(AND($N$9=1,$N$21=1),AD55,IF(AND($N$9=1,$N$21=4),AE55,IF(AND($N$9=1,$N$21=5),AF55,IF(AND($N$9=1,$N$21=11),AG55,IF(AND($N$9=1,$N$21=7),AH55,IF(AND($N$9=1,$N$21=3),AI55,IF(AND($N$9=1,$N$21=6),AJ55,IF(AND($N$9=1,$N$21=9),AK55,IF(AND($N$9=1,$N$21=2),AL55,0))))))))))))))))))))</f>
        <v>0</v>
      </c>
      <c r="AO55" s="46"/>
      <c r="AP55" s="46"/>
      <c r="AQ55" s="46"/>
      <c r="AR55" s="46"/>
      <c r="AS55" s="46"/>
      <c r="AT55" s="46"/>
      <c r="AU55" s="46"/>
      <c r="AV55" s="46"/>
      <c r="AW55" s="46"/>
      <c r="AY55" s="161"/>
      <c r="AZ55" s="161"/>
      <c r="BA55" s="161"/>
      <c r="BB55" s="161"/>
      <c r="BC55" s="161"/>
      <c r="BD55" s="161"/>
      <c r="BE55" s="161"/>
      <c r="BF55" s="161"/>
      <c r="BG55" s="161"/>
      <c r="BH55" s="231"/>
      <c r="BI55" s="52">
        <f>IF(AND($N$9=2,$N$21=1),AO55,IF(AND($N$9=2,$N$21=4),AP55,IF(AND($N$9=2,$N$21=5),AQ55,IF(AND($N$9=2,$N$21=11),AR55,IF(AND($N$9=2,$N$21=7),AS55,IF(AND($N$9=2,$N$21=3),AT55,IF(AND($N$9=2,$N$21=6),AU55,IF(AND($N$9=2,$N$21=9),AV55,IF(AND($N$9=2,$N$21=2),AW55,IF(AND($N$9=2,$N$21=8),AX55,IF(AND($N$9=1,$N$21=1),AY55,IF(AND($N$9=1,$N$21=1),AY55,IF(AND($N$9=1,$N$21=4),AZ55,IF(AND($N$9=1,$N$21=5),BA55,IF(AND($N$9=1,$N$21=11),BB55,IF(AND($N$9=1,$N$21=7),BC55,IF(AND($N$9=1,$N$21=3),BD55,IF(AND($N$9=1,$N$21=6),BE55,IF(AND($N$9=1,$N$21=9),BF55,IF(AND($N$9=1,$N$21=2),BG55,0))))))))))))))))))))</f>
        <v>0</v>
      </c>
      <c r="BJ55" s="46"/>
      <c r="BK55" s="46"/>
      <c r="BL55" s="46"/>
      <c r="BM55" s="46"/>
      <c r="BN55" s="46"/>
      <c r="BO55" s="46"/>
      <c r="BP55" s="46"/>
      <c r="BQ55" s="46"/>
      <c r="BR55" s="46"/>
      <c r="BT55" s="161"/>
      <c r="BU55" s="161"/>
      <c r="BV55" s="161"/>
      <c r="BW55" s="161"/>
      <c r="BX55" s="161"/>
      <c r="BY55" s="161"/>
      <c r="BZ55" s="161"/>
      <c r="CA55" s="161"/>
      <c r="CB55" s="161"/>
      <c r="CC55" s="231"/>
      <c r="CD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BT55,IF(AND($N$9=1,$N$21=1),BT55,IF(AND($N$9=1,$N$21=4),BU55,IF(AND($N$9=1,$N$21=5),BV55,IF(AND($N$9=1,$N$21=11),BW55,IF(AND($N$9=1,$N$21=7),BX55,IF(AND($N$9=1,$N$21=3),BY55,IF(AND($N$9=1,$N$21=6),BZ55,IF(AND($N$9=1,$N$21=9),CA55,IF(AND($N$9=1,$N$21=2),CB55,0))))))))))))))))))))</f>
        <v>0</v>
      </c>
      <c r="CE55" s="46"/>
      <c r="CF55" s="46"/>
      <c r="CG55" s="46"/>
      <c r="CH55" s="46"/>
      <c r="CI55" s="46"/>
      <c r="CJ55" s="46"/>
      <c r="CK55" s="46"/>
      <c r="CL55" s="46"/>
      <c r="CM55" s="46"/>
      <c r="CO55" s="161"/>
      <c r="CP55" s="161"/>
      <c r="CQ55" s="161"/>
      <c r="CR55" s="161"/>
      <c r="CS55" s="161"/>
      <c r="CT55" s="161"/>
      <c r="CU55" s="161"/>
      <c r="CV55" s="161"/>
      <c r="CW55" s="161"/>
      <c r="CX55" s="231"/>
      <c r="CY55" s="52">
        <f>IF(AND($N$9=2,$N$21=1),BJ55,IF(AND($N$9=2,$N$21=4),BK55,IF(AND($N$9=2,$N$21=5),BL55,IF(AND($N$9=2,$N$21=11),BM55,IF(AND($N$9=2,$N$21=7),BN55,IF(AND($N$9=2,$N$21=3),BO55,IF(AND($N$9=2,$N$21=6),BP55,IF(AND($N$9=2,$N$21=9),BQ55,IF(AND($N$9=2,$N$21=2),BR55,IF(AND($N$9=2,$N$21=8),BS55,IF(AND($N$9=1,$N$21=1),CO55,IF(AND($N$9=1,$N$21=1),CO55,IF(AND($N$9=1,$N$21=4),CP55,IF(AND($N$9=1,$N$21=5),CQ55,IF(AND($N$9=1,$N$21=11),CR55,IF(AND($N$9=1,$N$21=7),CS55,IF(AND($N$9=1,$N$21=3),CT55,IF(AND($N$9=1,$N$21=6),CU55,IF(AND($N$9=1,$N$21=9),CV55,IF(AND($N$9=1,$N$21=2),CW55,0))))))))))))))))))))</f>
        <v>0</v>
      </c>
      <c r="DJ55" s="161"/>
      <c r="DK55" s="161"/>
      <c r="DL55" s="161"/>
      <c r="DM55" s="161"/>
      <c r="DN55" s="161"/>
      <c r="DO55" s="161"/>
      <c r="DP55" s="161"/>
      <c r="DQ55" s="161"/>
      <c r="DR55" s="161"/>
      <c r="DS55" s="231"/>
      <c r="DT55" s="52">
        <f>IF(AND($N$9=2,$N$21=1),CE55,IF(AND($N$9=2,$N$21=4),CF55,IF(AND($N$9=2,$N$21=5),CG55,IF(AND($N$9=2,$N$21=11),CH55,IF(AND($N$9=2,$N$21=7),CI55,IF(AND($N$9=2,$N$21=3),CJ55,IF(AND($N$9=2,$N$21=6),CK55,IF(AND($N$9=2,$N$21=9),CL55,IF(AND($N$9=2,$N$21=2),CM55,IF(AND($N$9=2,$N$21=8),CN55,IF(AND($N$9=1,$N$21=1),DJ55,IF(AND($N$9=1,$N$21=1),DJ55,IF(AND($N$9=1,$N$21=4),DK55,IF(AND($N$9=1,$N$21=5),DL55,IF(AND($N$9=1,$N$21=11),DM55,IF(AND($N$9=1,$N$21=7),DN55,IF(AND($N$9=1,$N$21=3),DO55,IF(AND($N$9=1,$N$21=6),DP55,IF(AND($N$9=1,$N$21=9),DQ55,IF(AND($N$9=1,$N$21=2),DR55,0))))))))))))))))))))</f>
        <v>0</v>
      </c>
      <c r="DU55" s="46"/>
      <c r="DV55" s="46"/>
      <c r="DW55" s="46"/>
      <c r="DX55" s="46"/>
      <c r="DY55" s="46"/>
      <c r="DZ55" s="46"/>
      <c r="EA55" s="46"/>
      <c r="EB55" s="46"/>
      <c r="EC55" s="46"/>
      <c r="EE55" s="161"/>
      <c r="EF55" s="161"/>
      <c r="EG55" s="161"/>
      <c r="EH55" s="161"/>
      <c r="EI55" s="161"/>
      <c r="EJ55" s="161"/>
      <c r="EK55" s="161"/>
      <c r="EL55" s="161"/>
      <c r="EM55" s="161"/>
      <c r="EN55" s="231"/>
      <c r="EO55" s="52">
        <f>IF(AND($N$9=2,$N$21=1),DU55,IF(AND($N$9=2,$N$21=4),DV55,IF(AND($N$9=2,$N$21=5),DW55,IF(AND($N$9=2,$N$21=11),DX55,IF(AND($N$9=2,$N$21=7),DY55,IF(AND($N$9=2,$N$21=3),DZ55,IF(AND($N$9=2,$N$21=6),EA55,IF(AND($N$9=2,$N$21=9),EB55,IF(AND($N$9=2,$N$21=2),EC55,IF(AND($N$9=2,$N$21=8),ED55,IF(AND($N$9=1,$N$21=1),EE55,IF(AND($N$9=1,$N$21=1),EE55,IF(AND($N$9=1,$N$21=4),EF55,IF(AND($N$9=1,$N$21=5),EG55,IF(AND($N$9=1,$N$21=11),EH55,IF(AND($N$9=1,$N$21=7),EI55,IF(AND($N$9=1,$N$21=3),EJ55,IF(AND($N$9=1,$N$21=6),EK55,IF(AND($N$9=1,$N$21=9),EL55,IF(AND($N$9=1,$N$21=2),EM55,0))))))))))))))))))))</f>
        <v>0</v>
      </c>
      <c r="GW55" s="160"/>
      <c r="HR55" s="160"/>
      <c r="IM55" s="160"/>
      <c r="JH55" s="160"/>
      <c r="KC55" s="160"/>
      <c r="KX55" s="160"/>
      <c r="LS55" s="160"/>
      <c r="MN55" s="160"/>
      <c r="NI55" s="160"/>
      <c r="OD55" s="160"/>
      <c r="OY55" s="160"/>
      <c r="PT55" s="160"/>
      <c r="QO55" s="160"/>
    </row>
    <row r="56" spans="1:460" ht="32.1" customHeight="1">
      <c r="A56" s="118"/>
      <c r="B56" s="96" t="str">
        <f>VLOOKUP("Stk",Sprachindex!A:Z,Info!$O$6,FALSE)</f>
        <v>STK</v>
      </c>
      <c r="C56" s="95"/>
      <c r="D56" s="95">
        <f t="shared" ref="D56:D62" si="2">IF($N$21=1,T56,IF($N$21=4,U56,IF($N$21=5,V56,IF($N$21=11,W56,IF($N$21=7,X56,IF($N$21=3,Y56,IF($N$21=6,Z56,IF($N$21=9,AA56,IF($N$21=2,AB56,IF($N$21=8,AC56,0))))))))))</f>
        <v>0</v>
      </c>
      <c r="E56" s="250" t="str">
        <f>VLOOKUP("Einzeltritt",Sprachindex!A:Z,Info!$O$6,FALSE)</f>
        <v>Einzeltritt</v>
      </c>
      <c r="F56" s="251"/>
      <c r="G56" s="251"/>
      <c r="H56" s="251"/>
      <c r="I56" s="251"/>
      <c r="J56" s="251"/>
      <c r="K56" s="257"/>
      <c r="L56" s="96" t="str">
        <f t="shared" si="0"/>
        <v/>
      </c>
      <c r="M56" s="97"/>
      <c r="O56" s="1"/>
      <c r="P56" s="191" t="str">
        <f>ROUNDUP($A56,0) &amp;" " &amp; Formeln!$A$111</f>
        <v>0 STK</v>
      </c>
      <c r="Q56" s="191" t="str">
        <f>ROUNDUP($A56,0) &amp;" " &amp; Formeln!$A$111</f>
        <v>0 STK</v>
      </c>
      <c r="T56" s="46">
        <v>120070</v>
      </c>
      <c r="U56" s="46">
        <v>120071</v>
      </c>
      <c r="V56" s="46">
        <v>120072</v>
      </c>
      <c r="W56" s="46">
        <v>120073</v>
      </c>
      <c r="X56" s="46">
        <v>120074</v>
      </c>
      <c r="Y56" s="46">
        <v>120075</v>
      </c>
      <c r="Z56" s="46">
        <v>120076</v>
      </c>
      <c r="AA56" s="46">
        <v>120077</v>
      </c>
      <c r="AB56" s="46">
        <v>120078</v>
      </c>
      <c r="AC56" s="46">
        <v>120079</v>
      </c>
    </row>
    <row r="57" spans="1:460" ht="32.1" customHeight="1">
      <c r="A57" s="118"/>
      <c r="B57" s="96" t="str">
        <f>VLOOKUP("Stk",Sprachindex!A:Z,Info!$O$6,FALSE)</f>
        <v>STK</v>
      </c>
      <c r="C57" s="95"/>
      <c r="D57" s="95">
        <f>IF($N$21=1,T57,IF($N$21=4,U57,IF($N$21=5,V57,IF($N$21=11,W57,IF($N$21=7,X57,IF($N$21=3,Y57,IF($N$21=6,Z57,IF($N$21=9,AA57,IF($N$21=2,AB57,IF($N$21=8,AC57,0))))))))))</f>
        <v>0</v>
      </c>
      <c r="E57" s="250" t="str">
        <f>VLOOKUP("Laufstegstütze FT250, inkl. Zubehör",Sprachindex!A:Z,Info!$O$6,FALSE)</f>
        <v>Laufstegstütze FT250, inkl. Zubehör</v>
      </c>
      <c r="F57" s="251"/>
      <c r="G57" s="251"/>
      <c r="H57" s="251"/>
      <c r="I57" s="251"/>
      <c r="J57" s="251"/>
      <c r="K57" s="257"/>
      <c r="L57" s="96" t="str">
        <f t="shared" si="0"/>
        <v/>
      </c>
      <c r="M57" s="97"/>
      <c r="O57" s="1"/>
      <c r="P57" s="191" t="str">
        <f>ROUNDUP($A57,0) &amp;" " &amp; Formeln!$A$111</f>
        <v>0 STK</v>
      </c>
      <c r="Q57" s="191" t="str">
        <f>ROUNDUP($A57,0) &amp;" " &amp; Formeln!$A$111</f>
        <v>0 STK</v>
      </c>
      <c r="T57" s="46">
        <v>120080</v>
      </c>
      <c r="U57" s="46">
        <v>120081</v>
      </c>
      <c r="V57" s="46">
        <v>120082</v>
      </c>
      <c r="W57" s="46">
        <v>120083</v>
      </c>
      <c r="X57" s="46">
        <v>120084</v>
      </c>
      <c r="Y57" s="46">
        <v>120085</v>
      </c>
      <c r="Z57" s="46">
        <v>120086</v>
      </c>
      <c r="AA57" s="46">
        <v>120087</v>
      </c>
      <c r="AB57" s="46">
        <v>120088</v>
      </c>
      <c r="AC57" s="46">
        <v>120089</v>
      </c>
    </row>
    <row r="58" spans="1:460" ht="32.1" customHeight="1">
      <c r="A58" s="118"/>
      <c r="B58" s="96" t="str">
        <f>VLOOKUP("Stk",Sprachindex!A:Z,Info!$O$6,FALSE)</f>
        <v>STK</v>
      </c>
      <c r="C58" s="95"/>
      <c r="D58" s="95">
        <v>649304</v>
      </c>
      <c r="E58" s="250" t="str">
        <f>VLOOKUP("Laufstegstütze auf zwei Fussteilen, geprüft nach EN 516-1-B (360 mm)",Sprachindex!A:Z,Info!$O$6,FALSE)</f>
        <v>Laufstegstütze auf zwei Fussteilen, geprüft nach EN 516-1-B (360 mm)</v>
      </c>
      <c r="F58" s="251"/>
      <c r="G58" s="251"/>
      <c r="H58" s="251"/>
      <c r="I58" s="251"/>
      <c r="J58" s="251"/>
      <c r="K58" s="257"/>
      <c r="L58" s="96" t="str">
        <f t="shared" si="0"/>
        <v/>
      </c>
      <c r="M58" s="97"/>
      <c r="O58" s="1"/>
      <c r="P58" s="191" t="str">
        <f>ROUNDUP($A58,0) &amp;" " &amp; Formeln!$A$111</f>
        <v>0 STK</v>
      </c>
      <c r="Q58" s="191" t="str">
        <f>ROUNDUP($A58,0) &amp;" " &amp; Formeln!$A$111</f>
        <v>0 STK</v>
      </c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460" ht="32.1" customHeight="1">
      <c r="A59" s="118"/>
      <c r="B59" s="96" t="str">
        <f>VLOOKUP("Stk",Sprachindex!A:Z,Info!$O$6,FALSE)</f>
        <v>STK</v>
      </c>
      <c r="C59" s="95"/>
      <c r="D59" s="95">
        <f t="shared" si="2"/>
        <v>0</v>
      </c>
      <c r="E59" s="250" t="str">
        <f>VLOOKUP("Laufsteg 250x1200mm, inkl. Befestigung ",Sprachindex!A:Z,Info!$O$6,FALSE)</f>
        <v xml:space="preserve">Laufsteg 250x1200mm, inkl. Befestigung 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9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46">
        <v>120030</v>
      </c>
      <c r="U59" s="46">
        <v>120031</v>
      </c>
      <c r="V59" s="46">
        <v>120032</v>
      </c>
      <c r="W59" s="46">
        <v>120033</v>
      </c>
      <c r="X59" s="46">
        <v>120034</v>
      </c>
      <c r="Y59" s="46">
        <v>120035</v>
      </c>
      <c r="Z59" s="46">
        <v>120036</v>
      </c>
      <c r="AA59" s="46">
        <v>120037</v>
      </c>
      <c r="AB59" s="46">
        <v>120038</v>
      </c>
      <c r="AC59" s="46">
        <v>120039</v>
      </c>
    </row>
    <row r="60" spans="1:460" ht="32.1" customHeight="1">
      <c r="A60" s="118"/>
      <c r="B60" s="96" t="str">
        <f>VLOOKUP("Stk",Sprachindex!A:Z,Info!$O$6,FALSE)</f>
        <v>STK</v>
      </c>
      <c r="C60" s="95"/>
      <c r="D60" s="95">
        <f t="shared" si="2"/>
        <v>0</v>
      </c>
      <c r="E60" s="250" t="str">
        <f>VLOOKUP("Laufsteg 250x800mm, inkl. Befestigung ",Sprachindex!A:Z,Info!$O$6,FALSE)</f>
        <v xml:space="preserve">Laufsteg 250x800mm, inkl. Befestigung </v>
      </c>
      <c r="F60" s="251"/>
      <c r="G60" s="251"/>
      <c r="H60" s="251"/>
      <c r="I60" s="251"/>
      <c r="J60" s="251"/>
      <c r="K60" s="257"/>
      <c r="L60" s="96" t="str">
        <f t="shared" si="0"/>
        <v/>
      </c>
      <c r="M60" s="9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46">
        <v>120020</v>
      </c>
      <c r="U60" s="46">
        <v>120021</v>
      </c>
      <c r="V60" s="46">
        <v>120022</v>
      </c>
      <c r="W60" s="46">
        <v>120023</v>
      </c>
      <c r="X60" s="46">
        <v>120024</v>
      </c>
      <c r="Y60" s="46">
        <v>120025</v>
      </c>
      <c r="Z60" s="46">
        <v>120026</v>
      </c>
      <c r="AA60" s="46">
        <v>120027</v>
      </c>
      <c r="AB60" s="46">
        <v>120028</v>
      </c>
      <c r="AC60" s="46">
        <v>121075</v>
      </c>
    </row>
    <row r="61" spans="1:460" ht="32.1" customHeight="1">
      <c r="A61" s="118"/>
      <c r="B61" s="96" t="str">
        <f>VLOOKUP("Stk",Sprachindex!A:Z,Info!$O$6,FALSE)</f>
        <v>STK</v>
      </c>
      <c r="C61" s="95"/>
      <c r="D61" s="95">
        <f t="shared" si="2"/>
        <v>0</v>
      </c>
      <c r="E61" s="250" t="str">
        <f>VLOOKUP("Laufsteg 250x600mm, inkl. Befestigung ",Sprachindex!A:Z,Info!$O$6,FALSE)</f>
        <v xml:space="preserve">Laufsteg 250x600mm, inkl. Befestigung 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9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46">
        <v>120060</v>
      </c>
      <c r="U61" s="46">
        <v>120061</v>
      </c>
      <c r="V61" s="46">
        <v>120062</v>
      </c>
      <c r="W61" s="46">
        <v>120063</v>
      </c>
      <c r="X61" s="46">
        <v>120064</v>
      </c>
      <c r="Y61" s="46">
        <v>120065</v>
      </c>
      <c r="Z61" s="46">
        <v>120066</v>
      </c>
      <c r="AA61" s="46">
        <v>120067</v>
      </c>
      <c r="AB61" s="46">
        <v>120068</v>
      </c>
      <c r="AC61" s="46">
        <v>120069</v>
      </c>
    </row>
    <row r="62" spans="1:460" ht="32.1" customHeight="1">
      <c r="A62" s="118"/>
      <c r="B62" s="96" t="str">
        <f>VLOOKUP("Stk",Sprachindex!A:Z,Info!$O$6,FALSE)</f>
        <v>STK</v>
      </c>
      <c r="C62" s="95"/>
      <c r="D62" s="95">
        <f t="shared" si="2"/>
        <v>0</v>
      </c>
      <c r="E62" s="250" t="str">
        <f>VLOOKUP("Laufsteg 250x420mm, inkl. Befestigung ",Sprachindex!A:Z,Info!$O$6,FALSE)</f>
        <v xml:space="preserve">Laufsteg 250x420mm, inkl. Befestigung 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97"/>
      <c r="O62" s="1"/>
      <c r="P62" s="191" t="str">
        <f>ROUNDUP($A62/4,0)*4 &amp;" " &amp; Formeln!$A$111</f>
        <v>0 STK</v>
      </c>
      <c r="Q62" s="191" t="str">
        <f>ROUNDUP($A62,0) &amp;" " &amp; Formeln!$A$111</f>
        <v>0 STK</v>
      </c>
      <c r="T62" s="46">
        <v>120010</v>
      </c>
      <c r="U62" s="46">
        <v>120011</v>
      </c>
      <c r="V62" s="46">
        <v>120012</v>
      </c>
      <c r="W62" s="46">
        <v>120013</v>
      </c>
      <c r="X62" s="46">
        <v>120014</v>
      </c>
      <c r="Y62" s="46">
        <v>120015</v>
      </c>
      <c r="Z62" s="46">
        <v>120016</v>
      </c>
      <c r="AA62" s="46">
        <v>120017</v>
      </c>
      <c r="AB62" s="46">
        <v>120018</v>
      </c>
      <c r="AC62" s="46">
        <v>120019</v>
      </c>
    </row>
    <row r="63" spans="1:460" ht="32.1" customHeight="1">
      <c r="A63" s="118"/>
      <c r="B63" s="96" t="str">
        <f>VLOOKUP("Stk",Sprachindex!A:Z,Info!$O$6,FALSE)</f>
        <v>STK</v>
      </c>
      <c r="C63" s="95"/>
      <c r="D63" s="95">
        <v>649305</v>
      </c>
      <c r="E63" s="250" t="str">
        <f>VLOOKUP("Laufsteg 360x800mm, inkl. Befestigung ",Sprachindex!A:Z,Info!$O$6,FALSE)</f>
        <v xml:space="preserve">Laufsteg 360x800mm, inkl. Befestigung 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97"/>
      <c r="O63" s="1"/>
      <c r="P63" s="191" t="str">
        <f>ROUNDUP($A63,0) &amp;" " &amp; Formeln!$A$111</f>
        <v>0 STK</v>
      </c>
      <c r="Q63" s="191" t="str">
        <f>ROUNDUP($A63,0) &amp;" " &amp; Formeln!$A$111</f>
        <v>0 STK</v>
      </c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460" ht="32.1" customHeight="1">
      <c r="A64" s="118"/>
      <c r="B64" s="96" t="str">
        <f>VLOOKUP("Stk",Sprachindex!A:Z,Info!$O$6,FALSE)</f>
        <v>STK</v>
      </c>
      <c r="C64" s="95"/>
      <c r="D64" s="95">
        <v>649306</v>
      </c>
      <c r="E64" s="250" t="str">
        <f>VLOOKUP("Laufsteg 360x1200mm, inkl. Befestigung ",Sprachindex!A:Z,Info!$O$6,FALSE)</f>
        <v xml:space="preserve">Laufsteg 360x1200mm, inkl. Befestigung 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97"/>
      <c r="O64" s="1"/>
      <c r="P64" s="191" t="str">
        <f>ROUNDUP($A64,0) &amp;" " &amp; Formeln!$A$111</f>
        <v>0 STK</v>
      </c>
      <c r="Q64" s="191" t="str">
        <f>ROUNDUP($A64,0) &amp;" " &amp; Formeln!$A$111</f>
        <v>0 STK</v>
      </c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39" ht="32.1" customHeight="1">
      <c r="A65" s="118"/>
      <c r="B65" s="96" t="str">
        <f>VLOOKUP("Stk",Sprachindex!A:Z,Info!$O$6,FALSE)</f>
        <v>STK</v>
      </c>
      <c r="C65" s="95"/>
      <c r="D65" s="100">
        <v>649001</v>
      </c>
      <c r="E65" s="250" t="str">
        <f>VLOOKUP("Laufstegverbinder 250mm breit",Sprachindex!A:Z,Info!$O$6,FALSE)</f>
        <v>Laufstegverbinder 250mm breit</v>
      </c>
      <c r="F65" s="251"/>
      <c r="G65" s="251"/>
      <c r="H65" s="251"/>
      <c r="I65" s="251"/>
      <c r="J65" s="251"/>
      <c r="K65" s="257"/>
      <c r="L65" s="96" t="str">
        <f t="shared" si="0"/>
        <v/>
      </c>
      <c r="M65" s="97"/>
      <c r="O65" s="1"/>
      <c r="P65" s="191" t="str">
        <f>ROUNDUP($A65,0) &amp;" " &amp; Formeln!$A$111</f>
        <v>0 STK</v>
      </c>
      <c r="Q65" s="191" t="str">
        <f>ROUNDUP($A65,0) &amp;" " &amp; Formeln!$A$111</f>
        <v>0 STK</v>
      </c>
      <c r="T65" s="49" t="s">
        <v>29</v>
      </c>
      <c r="U65" s="49" t="s">
        <v>30</v>
      </c>
      <c r="V65" s="49" t="s">
        <v>31</v>
      </c>
      <c r="W65" s="49" t="s">
        <v>32</v>
      </c>
      <c r="X65" s="49" t="s">
        <v>33</v>
      </c>
      <c r="Y65" s="49" t="s">
        <v>34</v>
      </c>
      <c r="Z65" s="49" t="s">
        <v>35</v>
      </c>
      <c r="AA65" s="49" t="s">
        <v>36</v>
      </c>
      <c r="AB65" s="49" t="s">
        <v>37</v>
      </c>
      <c r="AC65" s="49" t="s">
        <v>38</v>
      </c>
      <c r="AD65" s="49" t="s">
        <v>29</v>
      </c>
      <c r="AE65" s="49" t="s">
        <v>30</v>
      </c>
      <c r="AF65" s="49" t="s">
        <v>31</v>
      </c>
      <c r="AG65" s="49" t="s">
        <v>32</v>
      </c>
      <c r="AH65" s="49" t="s">
        <v>33</v>
      </c>
      <c r="AI65" s="49" t="s">
        <v>34</v>
      </c>
      <c r="AJ65" s="49" t="s">
        <v>35</v>
      </c>
      <c r="AK65" s="49" t="s">
        <v>36</v>
      </c>
      <c r="AL65" s="49" t="s">
        <v>37</v>
      </c>
      <c r="AM65" s="49" t="s">
        <v>38</v>
      </c>
    </row>
    <row r="66" spans="1:39" ht="32.1" customHeight="1">
      <c r="A66" s="118"/>
      <c r="B66" s="96" t="str">
        <f>VLOOKUP("Stk",Sprachindex!A:Z,Info!$O$6,FALSE)</f>
        <v>STK</v>
      </c>
      <c r="C66" s="95"/>
      <c r="D66" s="100">
        <v>649008</v>
      </c>
      <c r="E66" s="250" t="str">
        <f>VLOOKUP("Laufstegverbinder 360mm breit",Sprachindex!A:Z,Info!$O$6,FALSE)</f>
        <v>Laufstegverbinder 360mm breit</v>
      </c>
      <c r="F66" s="251"/>
      <c r="G66" s="251"/>
      <c r="H66" s="251"/>
      <c r="I66" s="251"/>
      <c r="J66" s="251"/>
      <c r="K66" s="257"/>
      <c r="L66" s="96" t="str">
        <f t="shared" si="0"/>
        <v/>
      </c>
      <c r="M66" s="9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49" t="s">
        <v>29</v>
      </c>
      <c r="U66" s="49" t="s">
        <v>30</v>
      </c>
      <c r="V66" s="49" t="s">
        <v>31</v>
      </c>
      <c r="W66" s="49" t="s">
        <v>32</v>
      </c>
      <c r="X66" s="49" t="s">
        <v>33</v>
      </c>
      <c r="Y66" s="49" t="s">
        <v>34</v>
      </c>
      <c r="Z66" s="49" t="s">
        <v>35</v>
      </c>
      <c r="AA66" s="49" t="s">
        <v>36</v>
      </c>
      <c r="AB66" s="49" t="s">
        <v>37</v>
      </c>
      <c r="AC66" s="49" t="s">
        <v>38</v>
      </c>
      <c r="AD66" s="49" t="s">
        <v>29</v>
      </c>
      <c r="AE66" s="49" t="s">
        <v>30</v>
      </c>
      <c r="AF66" s="49" t="s">
        <v>31</v>
      </c>
      <c r="AG66" s="49" t="s">
        <v>32</v>
      </c>
      <c r="AH66" s="49" t="s">
        <v>33</v>
      </c>
      <c r="AI66" s="49" t="s">
        <v>34</v>
      </c>
      <c r="AJ66" s="49" t="s">
        <v>35</v>
      </c>
      <c r="AK66" s="49" t="s">
        <v>36</v>
      </c>
      <c r="AL66" s="49" t="s">
        <v>37</v>
      </c>
      <c r="AM66" s="49" t="s">
        <v>38</v>
      </c>
    </row>
    <row r="67" spans="1:39" ht="32.1" customHeight="1">
      <c r="A67" s="118"/>
      <c r="B67" s="96" t="str">
        <f>VLOOKUP("Stk",Sprachindex!A:Z,Info!$O$6,FALSE)</f>
        <v>STK</v>
      </c>
      <c r="C67" s="98"/>
      <c r="D67" s="100">
        <v>635661</v>
      </c>
      <c r="E67" s="250" t="str">
        <f>VLOOKUP("Sicherheitsdachhaken nach EN 517 B, mit Tellerfüßen",Sprachindex!A:Z,Info!$O$6,FALSE)</f>
        <v>Sicherheitsdachhaken nach EN 517 B, mit Tellerfüßen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102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</row>
    <row r="68" spans="1:39" ht="32.1" customHeight="1">
      <c r="A68" s="118"/>
      <c r="B68" s="96" t="str">
        <f>VLOOKUP("Stk",Sprachindex!A:Z,Info!$O$6,FALSE)</f>
        <v>STK</v>
      </c>
      <c r="C68" s="98"/>
      <c r="D68" s="95">
        <f t="shared" ref="D68:D74" si="3">IF($N$21=1,T68,IF($N$21=4,U68,IF($N$21=5,V68,IF($N$21=11,W68,IF($N$21=7,X68,IF($N$21=3,Y68,IF($N$21=6,Z68,IF($N$21=9,AA68,IF($N$21=2,AB68,IF($N$21=8,AC68,0))))))))))</f>
        <v>0</v>
      </c>
      <c r="E68" s="250" t="str">
        <f>VLOOKUP("Dachsicherheitshaken, nach DIN EN 517 B",Sprachindex!A:Z,Info!$O$6,FALSE)</f>
        <v>Dachsicherheitshaken, nach DIN EN 517 B</v>
      </c>
      <c r="F68" s="251"/>
      <c r="G68" s="251"/>
      <c r="H68" s="251"/>
      <c r="I68" s="251"/>
      <c r="J68" s="251"/>
      <c r="K68" s="257"/>
      <c r="L68" s="96" t="str">
        <f t="shared" si="0"/>
        <v/>
      </c>
      <c r="M68" s="102"/>
      <c r="O68" s="1"/>
      <c r="P68" s="191" t="str">
        <f>ROUNDUP($A68/12,0)*12 &amp;" " &amp; Formeln!$A$111</f>
        <v>0 STK</v>
      </c>
      <c r="Q68" s="191" t="str">
        <f>ROUNDUP($A68,0) &amp;" " &amp; Formeln!$A$111</f>
        <v>0 STK</v>
      </c>
      <c r="T68" s="46">
        <v>120000</v>
      </c>
      <c r="U68" s="46">
        <v>120001</v>
      </c>
      <c r="V68" s="46">
        <v>120002</v>
      </c>
      <c r="W68" s="46">
        <v>120003</v>
      </c>
      <c r="X68" s="46">
        <v>120004</v>
      </c>
      <c r="Y68" s="46">
        <v>120005</v>
      </c>
      <c r="Z68" s="46">
        <v>120006</v>
      </c>
      <c r="AA68" s="46">
        <v>120007</v>
      </c>
      <c r="AB68" s="46">
        <v>120008</v>
      </c>
      <c r="AC68" s="46">
        <v>120009</v>
      </c>
    </row>
    <row r="69" spans="1:39" ht="32.1" customHeight="1">
      <c r="A69" s="118"/>
      <c r="B69" s="96" t="str">
        <f>VLOOKUP("Stk",Sprachindex!A:Z,Info!$O$6,FALSE)</f>
        <v>STK</v>
      </c>
      <c r="C69" s="98"/>
      <c r="D69" s="95">
        <f t="shared" si="3"/>
        <v>0</v>
      </c>
      <c r="E69" s="250" t="str">
        <f>VLOOKUP("Einfassungsplatte R.16/FX.12",Sprachindex!A:Z,Info!$O$6,FALSE)</f>
        <v>Einfassungsplatte R.16/FX.12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102"/>
      <c r="O69" s="1"/>
      <c r="P69" s="191" t="str">
        <f>ROUNDUP($A69/1,0)*1 &amp;" " &amp; Formeln!$A$111</f>
        <v>0 STK</v>
      </c>
      <c r="Q69" s="191" t="str">
        <f>ROUNDUP($A69,0) &amp;" " &amp; Formeln!$A$111</f>
        <v>0 STK</v>
      </c>
      <c r="T69" s="46">
        <v>112061</v>
      </c>
      <c r="U69" s="46">
        <v>112062</v>
      </c>
      <c r="V69" s="46">
        <v>112063</v>
      </c>
      <c r="W69" s="46">
        <v>112064</v>
      </c>
      <c r="X69" s="46">
        <v>112065</v>
      </c>
      <c r="Y69" s="46">
        <v>112066</v>
      </c>
      <c r="Z69" s="46">
        <v>112068</v>
      </c>
      <c r="AA69" s="46">
        <v>112067</v>
      </c>
      <c r="AB69" s="46">
        <v>112069</v>
      </c>
      <c r="AC69" s="46">
        <v>112070</v>
      </c>
    </row>
    <row r="70" spans="1:39" ht="32.1" customHeight="1">
      <c r="A70" s="118"/>
      <c r="B70" s="96" t="str">
        <f>VLOOKUP("Stk",Sprachindex!A:Z,Info!$O$6,FALSE)</f>
        <v>STK</v>
      </c>
      <c r="C70" s="98"/>
      <c r="D70" s="95">
        <f t="shared" si="3"/>
        <v>0</v>
      </c>
      <c r="E70" s="250" t="str">
        <f>VLOOKUP("Einfassungsplatte, zum Einfalzen",Sprachindex!A:Z,Info!$O$6,FALSE)</f>
        <v>Einfassungsplatte, zum Einfalzen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02"/>
      <c r="O70" s="1"/>
      <c r="P70" s="191" t="str">
        <f>ROUNDUP($A70/5,0)*5 &amp;" " &amp; Formeln!$A$111</f>
        <v>0 STK</v>
      </c>
      <c r="Q70" s="191" t="str">
        <f>ROUNDUP($A70,0) &amp;" " &amp; Formeln!$A$111</f>
        <v>0 STK</v>
      </c>
      <c r="T70" s="46">
        <v>110230</v>
      </c>
      <c r="U70" s="46">
        <v>110231</v>
      </c>
      <c r="V70" s="46">
        <v>110232</v>
      </c>
      <c r="W70" s="46">
        <v>110233</v>
      </c>
      <c r="X70" s="46">
        <v>110234</v>
      </c>
      <c r="Y70" s="46">
        <v>110235</v>
      </c>
      <c r="Z70" s="46">
        <v>110236</v>
      </c>
      <c r="AA70" s="46">
        <v>110237</v>
      </c>
      <c r="AB70" s="46">
        <v>110238</v>
      </c>
      <c r="AC70" s="46">
        <v>110239</v>
      </c>
    </row>
    <row r="71" spans="1:39" ht="32.1" customHeight="1">
      <c r="A71" s="118"/>
      <c r="B71" s="96" t="str">
        <f>VLOOKUP("Stk",Sprachindex!A:Z,Info!$O$6,FALSE)</f>
        <v>STK</v>
      </c>
      <c r="C71" s="98"/>
      <c r="D71" s="95">
        <f t="shared" si="3"/>
        <v>0</v>
      </c>
      <c r="E71" s="250" t="str">
        <f>VLOOKUP("Universaleinfassungsplatte, 2-teilig ",Sprachindex!A:Z,Info!$O$6,FALSE)</f>
        <v xml:space="preserve">Universaleinfassungsplatte, 2-teilig </v>
      </c>
      <c r="F71" s="251"/>
      <c r="G71" s="251"/>
      <c r="H71" s="251"/>
      <c r="I71" s="251"/>
      <c r="J71" s="251"/>
      <c r="K71" s="257"/>
      <c r="L71" s="96" t="str">
        <f t="shared" si="0"/>
        <v/>
      </c>
      <c r="M71" s="102"/>
      <c r="O71" s="1"/>
      <c r="P71" s="191" t="str">
        <f>ROUNDUP($A71,0) &amp;" " &amp; Formeln!$A$111</f>
        <v>0 STK</v>
      </c>
      <c r="Q71" s="191" t="str">
        <f>ROUNDUP($A71,0) &amp;" " &amp; Formeln!$A$111</f>
        <v>0 STK</v>
      </c>
      <c r="T71" s="46">
        <v>110240</v>
      </c>
      <c r="U71" s="46">
        <v>110241</v>
      </c>
      <c r="V71" s="46">
        <v>110242</v>
      </c>
      <c r="W71" s="46">
        <v>110243</v>
      </c>
      <c r="X71" s="46">
        <v>110244</v>
      </c>
      <c r="Y71" s="46">
        <v>110245</v>
      </c>
      <c r="Z71" s="46">
        <v>110246</v>
      </c>
      <c r="AA71" s="46">
        <v>110247</v>
      </c>
      <c r="AB71" s="46">
        <v>110248</v>
      </c>
      <c r="AC71" s="46">
        <v>110249</v>
      </c>
    </row>
    <row r="72" spans="1:39" ht="32.1" customHeight="1">
      <c r="A72" s="118"/>
      <c r="B72" s="96" t="str">
        <f>VLOOKUP("Stk",Sprachindex!A:Z,Info!$O$6,FALSE)</f>
        <v>STK</v>
      </c>
      <c r="C72" s="98"/>
      <c r="D72" s="95">
        <f t="shared" si="3"/>
        <v>0</v>
      </c>
      <c r="E72" s="250" t="str">
        <f>VLOOKUP("Entlüftungshaube 100",Sprachindex!A:Z,Info!$O$6,FALSE)</f>
        <v>Entlüftungshaube 100</v>
      </c>
      <c r="F72" s="251"/>
      <c r="G72" s="251"/>
      <c r="H72" s="251"/>
      <c r="I72" s="251"/>
      <c r="J72" s="251"/>
      <c r="K72" s="257"/>
      <c r="L72" s="96" t="str">
        <f t="shared" si="0"/>
        <v/>
      </c>
      <c r="M72" s="102"/>
      <c r="O72" s="1"/>
      <c r="P72" s="191" t="str">
        <f>ROUNDUP($A72,0) &amp;" " &amp; Formeln!$A$111</f>
        <v>0 STK</v>
      </c>
      <c r="Q72" s="191" t="str">
        <f>ROUNDUP($A72,0) &amp;" " &amp; Formeln!$A$111</f>
        <v>0 STK</v>
      </c>
      <c r="T72" s="46">
        <v>110280</v>
      </c>
      <c r="U72" s="46">
        <v>110281</v>
      </c>
      <c r="V72" s="46">
        <v>110282</v>
      </c>
      <c r="W72" s="46">
        <v>110283</v>
      </c>
      <c r="X72" s="46">
        <v>110284</v>
      </c>
      <c r="Y72" s="46">
        <v>110285</v>
      </c>
      <c r="Z72" s="46">
        <v>110286</v>
      </c>
      <c r="AA72" s="46">
        <v>110287</v>
      </c>
      <c r="AB72" s="46">
        <v>110288</v>
      </c>
      <c r="AC72" s="46">
        <v>110289</v>
      </c>
    </row>
    <row r="73" spans="1:39" ht="32.1" customHeight="1">
      <c r="A73" s="118"/>
      <c r="B73" s="96" t="str">
        <f>VLOOKUP("Stk",Sprachindex!A:Z,Info!$O$6,FALSE)</f>
        <v>STK</v>
      </c>
      <c r="C73" s="98"/>
      <c r="D73" s="95">
        <f t="shared" si="3"/>
        <v>0</v>
      </c>
      <c r="E73" s="250" t="str">
        <f>VLOOKUP("Entlüftungsrohr DM 100",Sprachindex!A:Z,Info!$O$6,FALSE)</f>
        <v>Entlüftungsrohr DM 100</v>
      </c>
      <c r="F73" s="251"/>
      <c r="G73" s="251"/>
      <c r="H73" s="251"/>
      <c r="I73" s="251"/>
      <c r="J73" s="251"/>
      <c r="K73" s="257"/>
      <c r="L73" s="96" t="str">
        <f t="shared" si="0"/>
        <v/>
      </c>
      <c r="M73" s="102"/>
      <c r="O73" s="1"/>
      <c r="P73" s="191" t="str">
        <f>ROUNDUP($A73,0) &amp;" " &amp; Formeln!$A$111</f>
        <v>0 STK</v>
      </c>
      <c r="Q73" s="191" t="str">
        <f>ROUNDUP($A73,0) &amp;" " &amp; Formeln!$A$111</f>
        <v>0 STK</v>
      </c>
      <c r="T73" s="46">
        <v>110200</v>
      </c>
      <c r="U73" s="46">
        <v>110201</v>
      </c>
      <c r="V73" s="46">
        <v>110202</v>
      </c>
      <c r="W73" s="46">
        <v>110203</v>
      </c>
      <c r="X73" s="46">
        <v>110204</v>
      </c>
      <c r="Y73" s="46">
        <v>110205</v>
      </c>
      <c r="Z73" s="46">
        <v>110206</v>
      </c>
      <c r="AA73" s="46">
        <v>110207</v>
      </c>
      <c r="AB73" s="46">
        <v>110208</v>
      </c>
      <c r="AC73" s="46">
        <v>121015</v>
      </c>
    </row>
    <row r="74" spans="1:39" ht="32.1" customHeight="1">
      <c r="A74" s="118"/>
      <c r="B74" s="96" t="str">
        <f>VLOOKUP("Stk",Sprachindex!A:Z,Info!$O$6,FALSE)</f>
        <v>STK</v>
      </c>
      <c r="C74" s="98"/>
      <c r="D74" s="95">
        <f t="shared" si="3"/>
        <v>0</v>
      </c>
      <c r="E74" s="250" t="str">
        <f>VLOOKUP("Entlüftungsrohr DM 120",Sprachindex!A:Z,Info!$O$6,FALSE)</f>
        <v>Entlüftungsrohr DM 120</v>
      </c>
      <c r="F74" s="251"/>
      <c r="G74" s="251"/>
      <c r="H74" s="251"/>
      <c r="I74" s="251"/>
      <c r="J74" s="251"/>
      <c r="K74" s="257"/>
      <c r="L74" s="96" t="str">
        <f t="shared" si="0"/>
        <v/>
      </c>
      <c r="M74" s="102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T74" s="46">
        <v>110210</v>
      </c>
      <c r="U74" s="46">
        <v>110211</v>
      </c>
      <c r="V74" s="46">
        <v>110212</v>
      </c>
      <c r="W74" s="46">
        <v>110213</v>
      </c>
      <c r="X74" s="46">
        <v>110214</v>
      </c>
      <c r="Y74" s="46">
        <v>110215</v>
      </c>
      <c r="Z74" s="46">
        <v>110216</v>
      </c>
      <c r="AA74" s="46">
        <v>110217</v>
      </c>
      <c r="AB74" s="46">
        <v>110218</v>
      </c>
      <c r="AC74" s="46">
        <v>121025</v>
      </c>
    </row>
    <row r="75" spans="1:39" ht="32.1" customHeight="1">
      <c r="A75" s="118"/>
      <c r="B75" s="96" t="str">
        <f>VLOOKUP("Stk",Sprachindex!A:Z,Info!$O$6,FALSE)</f>
        <v>STK</v>
      </c>
      <c r="C75" s="98"/>
      <c r="D75" s="100">
        <v>340943</v>
      </c>
      <c r="E75" s="250" t="str">
        <f>VLOOKUP("Faltmanschette 100",Sprachindex!A:Z,Info!$O$6,FALSE)</f>
        <v>Faltmanschette 100</v>
      </c>
      <c r="F75" s="251"/>
      <c r="G75" s="251"/>
      <c r="H75" s="251"/>
      <c r="I75" s="251"/>
      <c r="J75" s="251"/>
      <c r="K75" s="257"/>
      <c r="L75" s="96" t="str">
        <f t="shared" si="0"/>
        <v/>
      </c>
      <c r="M75" s="102"/>
      <c r="O75" s="1"/>
      <c r="P75" s="191" t="str">
        <f>ROUNDUP($A75,0) &amp;" " &amp; Formeln!$A$111</f>
        <v>0 STK</v>
      </c>
      <c r="Q75" s="191" t="str">
        <f>ROUNDUP($A75,0) &amp;" " &amp; Formeln!$A$111</f>
        <v>0 STK</v>
      </c>
      <c r="T75" s="49" t="s">
        <v>29</v>
      </c>
      <c r="U75" s="49" t="s">
        <v>30</v>
      </c>
      <c r="V75" s="49" t="s">
        <v>31</v>
      </c>
      <c r="W75" s="49" t="s">
        <v>32</v>
      </c>
      <c r="X75" s="49" t="s">
        <v>33</v>
      </c>
      <c r="Y75" s="49" t="s">
        <v>34</v>
      </c>
      <c r="Z75" s="49" t="s">
        <v>35</v>
      </c>
      <c r="AA75" s="49" t="s">
        <v>36</v>
      </c>
      <c r="AB75" s="49" t="s">
        <v>37</v>
      </c>
      <c r="AC75" s="49" t="s">
        <v>38</v>
      </c>
      <c r="AD75" s="49" t="s">
        <v>29</v>
      </c>
      <c r="AE75" s="49" t="s">
        <v>30</v>
      </c>
      <c r="AF75" s="49" t="s">
        <v>31</v>
      </c>
      <c r="AG75" s="49" t="s">
        <v>32</v>
      </c>
      <c r="AH75" s="49" t="s">
        <v>33</v>
      </c>
      <c r="AI75" s="49" t="s">
        <v>34</v>
      </c>
      <c r="AJ75" s="49" t="s">
        <v>35</v>
      </c>
      <c r="AK75" s="49" t="s">
        <v>36</v>
      </c>
      <c r="AL75" s="49" t="s">
        <v>37</v>
      </c>
      <c r="AM75" s="49" t="s">
        <v>38</v>
      </c>
    </row>
    <row r="76" spans="1:39" ht="32.1" customHeight="1">
      <c r="A76" s="118"/>
      <c r="B76" s="96" t="str">
        <f>VLOOKUP("Stk",Sprachindex!A:Z,Info!$O$6,FALSE)</f>
        <v>STK</v>
      </c>
      <c r="C76" s="98"/>
      <c r="D76" s="95">
        <f>IF(AND($N$9=2,$N$21=1),T76,IF(AND($N$9=2,$N$21=4),U76,IF(AND($N$9=2,$N$21=5),V76,IF(AND($N$9=2,$N$21=11),W76,IF(AND($N$9=2,$N$21=7),X76,IF(AND($N$9=2,$N$21=3),Y76,IF(AND($N$9=2,$N$21=6),Z76,IF(AND($N$9=2,$N$21=9),AA76,IF(AND($N$9=2,$N$21=2),AB76,IF(AND($N$9=2,$N$21=8),AC76,IF(AND($N$9=1,$N$21=1),AD76,IF(AND($N$9=1,$N$21=1),AD76,IF(AND($N$9=1,$N$21=4),AE76,IF(AND($N$9=1,$N$21=5),AF76,IF(AND($N$9=1,$N$21=11),AG76,IF(AND($N$9=1,$N$21=7),AH76,IF(AND($N$9=1,$N$21=3),AI76,IF(AND($N$9=1,$N$21=6),AJ76,IF(AND($N$9=1,$N$21=9),AK76,IF(AND($N$9=1,$N$21=2),AL76,IF(AND($N$9=1,$N$21=8),AM76,0)))))))))))))))))))))</f>
        <v>0</v>
      </c>
      <c r="E76" s="250" t="str">
        <f>VLOOKUP("Unterlagsplatte, für DS, DR29, DP, R.16, FX.12",Sprachindex!A:Z,Info!$O$6,FALSE)</f>
        <v>Unterlagsplatte, für DS, DR29, DP, R.16, FX.12</v>
      </c>
      <c r="F76" s="251"/>
      <c r="G76" s="251"/>
      <c r="H76" s="251"/>
      <c r="I76" s="251"/>
      <c r="J76" s="251"/>
      <c r="K76" s="257"/>
      <c r="L76" s="96" t="str">
        <f t="shared" si="0"/>
        <v/>
      </c>
      <c r="M76" s="102"/>
      <c r="O76" s="1"/>
      <c r="P76" s="191" t="str">
        <f>ROUNDUP($A76/15,0)*15 &amp;" " &amp; Formeln!$A$111</f>
        <v>0 STK</v>
      </c>
      <c r="Q76" s="191" t="str">
        <f>ROUNDUP($A76,0) &amp;" " &amp; Formeln!$A$111</f>
        <v>0 STK</v>
      </c>
      <c r="T76" s="46">
        <v>110360</v>
      </c>
      <c r="U76" s="46">
        <v>110361</v>
      </c>
      <c r="V76" s="46">
        <v>110362</v>
      </c>
      <c r="W76" s="46">
        <v>110363</v>
      </c>
      <c r="X76" s="46">
        <v>110364</v>
      </c>
      <c r="Y76" s="46">
        <v>110365</v>
      </c>
      <c r="Z76" s="46">
        <v>110366</v>
      </c>
      <c r="AA76" s="46">
        <v>110367</v>
      </c>
      <c r="AB76" s="46">
        <v>110368</v>
      </c>
      <c r="AD76" s="46">
        <v>110370</v>
      </c>
      <c r="AE76" s="46">
        <v>110371</v>
      </c>
      <c r="AF76" s="46">
        <v>110372</v>
      </c>
      <c r="AG76" s="46">
        <v>110373</v>
      </c>
      <c r="AH76" s="46">
        <v>110374</v>
      </c>
      <c r="AI76" s="46">
        <v>110375</v>
      </c>
      <c r="AJ76" s="46">
        <v>110376</v>
      </c>
      <c r="AK76" s="46">
        <v>110377</v>
      </c>
      <c r="AL76" s="46">
        <v>110378</v>
      </c>
      <c r="AM76" s="1">
        <v>110379</v>
      </c>
    </row>
    <row r="77" spans="1:39" ht="32.1" customHeight="1">
      <c r="A77" s="118"/>
      <c r="B77" s="96" t="str">
        <f>VLOOKUP("Stk",Sprachindex!A:Z,Info!$O$6,FALSE)</f>
        <v>STK</v>
      </c>
      <c r="C77" s="98"/>
      <c r="D77" s="95">
        <f t="shared" ref="D77:D90" si="4">IF($N$21=1,T77,IF($N$21=4,U77,IF($N$21=5,V77,IF($N$21=11,W77,IF($N$21=7,X77,IF($N$21=3,Y77,IF($N$21=6,Z77,IF($N$21=9,AA77,IF($N$21=2,AB77,IF($N$21=8,AC77,0))))))))))</f>
        <v>0</v>
      </c>
      <c r="E77" s="250" t="str">
        <f>VLOOKUP("Schneestopper, Typ FX12/R16/DS.19 ",Sprachindex!A:Z,Info!$O$6,FALSE)</f>
        <v xml:space="preserve">Schneestopper, Typ FX12/R16/DS.19 </v>
      </c>
      <c r="F77" s="251"/>
      <c r="G77" s="251"/>
      <c r="H77" s="251"/>
      <c r="I77" s="251"/>
      <c r="J77" s="251"/>
      <c r="K77" s="257"/>
      <c r="L77" s="96" t="str">
        <f t="shared" si="0"/>
        <v/>
      </c>
      <c r="M77" s="102"/>
      <c r="O77" s="1"/>
      <c r="P77" s="191" t="str">
        <f>ROUNDUP($A77/100,0)*100 &amp;" " &amp; Formeln!$A$111</f>
        <v>0 STK</v>
      </c>
      <c r="Q77" s="191" t="str">
        <f>ROUNDUP($A77,0) &amp;" " &amp; Formeln!$A$111</f>
        <v>0 STK</v>
      </c>
      <c r="T77" s="46">
        <v>112041</v>
      </c>
      <c r="U77" s="46">
        <v>112042</v>
      </c>
      <c r="V77" s="46">
        <v>112043</v>
      </c>
      <c r="W77" s="46">
        <v>112044</v>
      </c>
      <c r="X77" s="46">
        <v>112045</v>
      </c>
      <c r="Y77" s="46">
        <v>112046</v>
      </c>
      <c r="Z77" s="46">
        <v>112048</v>
      </c>
      <c r="AA77" s="46">
        <v>112047</v>
      </c>
      <c r="AB77" s="46">
        <v>112049</v>
      </c>
      <c r="AC77" s="46">
        <v>112050</v>
      </c>
    </row>
    <row r="78" spans="1:39" ht="32.1" customHeight="1">
      <c r="A78" s="118"/>
      <c r="B78" s="96" t="str">
        <f>VLOOKUP("Stk",Sprachindex!A:Z,Info!$O$6,FALSE)</f>
        <v>STK</v>
      </c>
      <c r="C78" s="98"/>
      <c r="D78" s="95">
        <f t="shared" si="4"/>
        <v>0</v>
      </c>
      <c r="E78" s="250" t="str">
        <f>VLOOKUP("Haken für Schneerechensystem, inkl. Befestigungsmaterial",Sprachindex!A:Z,Info!$O$6,FALSE)</f>
        <v>Haken für Schneerechensystem, inkl. Befestigungsmaterial</v>
      </c>
      <c r="F78" s="251"/>
      <c r="G78" s="251"/>
      <c r="H78" s="251"/>
      <c r="I78" s="251"/>
      <c r="J78" s="251"/>
      <c r="K78" s="257"/>
      <c r="L78" s="96" t="str">
        <f t="shared" si="0"/>
        <v/>
      </c>
      <c r="M78" s="102"/>
      <c r="O78" s="1"/>
      <c r="P78" s="191" t="str">
        <f>ROUNDUP($A78/2,0)*2 &amp;" " &amp; Formeln!$A$111</f>
        <v>0 STK</v>
      </c>
      <c r="Q78" s="191" t="str">
        <f>ROUNDUP($A78,0) &amp;" " &amp; Formeln!$A$111</f>
        <v>0 STK</v>
      </c>
      <c r="T78" s="46">
        <v>120180</v>
      </c>
      <c r="U78" s="46">
        <v>120181</v>
      </c>
      <c r="V78" s="46">
        <v>120182</v>
      </c>
      <c r="W78" s="46">
        <v>120183</v>
      </c>
      <c r="X78" s="46">
        <v>120184</v>
      </c>
      <c r="Y78" s="46">
        <v>120185</v>
      </c>
      <c r="Z78" s="46">
        <v>120186</v>
      </c>
      <c r="AA78" s="46">
        <v>120187</v>
      </c>
      <c r="AB78" s="46">
        <v>120188</v>
      </c>
      <c r="AC78" s="46">
        <v>120189</v>
      </c>
    </row>
    <row r="79" spans="1:39" ht="32.1" customHeight="1">
      <c r="A79" s="118"/>
      <c r="B79" s="96" t="str">
        <f>VLOOKUP("lfm",Sprachindex!A:Z,Info!$O$6,FALSE)</f>
        <v>lfm</v>
      </c>
      <c r="C79" s="98"/>
      <c r="D79" s="95">
        <f t="shared" si="4"/>
        <v>0</v>
      </c>
      <c r="E79" s="250" t="str">
        <f>VLOOKUP("Einlegeprofil f.Schneerechensystem, 3m",Sprachindex!A:Z,Info!$O$6,FALSE)</f>
        <v>Einlegeprofil f.Schneerechensystem, 3m</v>
      </c>
      <c r="F79" s="251"/>
      <c r="G79" s="251"/>
      <c r="H79" s="251"/>
      <c r="I79" s="251"/>
      <c r="J79" s="251"/>
      <c r="K79" s="257"/>
      <c r="L79" s="96" t="str">
        <f t="shared" si="0"/>
        <v/>
      </c>
      <c r="M79" s="102"/>
      <c r="O79" s="1"/>
      <c r="P79" s="191" t="str">
        <f>ROUNDUP($A79/3,0)*3 &amp;" " &amp; Formeln!$A$112 &amp; "                " &amp; "(="&amp;ROUNDUP($A79/3,0) &amp; " " &amp;Formeln!$A$111 &amp; ")"</f>
        <v>0 lfm                (=0 STK)</v>
      </c>
      <c r="Q79" s="191" t="str">
        <f>ROUNDUP($A79/3,0)*3 &amp;" " &amp; Formeln!$A$112 &amp; "                " &amp; "(="&amp;ROUNDUP($A79/3,0) &amp; " " &amp;Formeln!$A$111 &amp; ")"</f>
        <v>0 lfm                (=0 STK)</v>
      </c>
      <c r="T79" s="46">
        <v>120350</v>
      </c>
      <c r="U79" s="46">
        <v>120351</v>
      </c>
      <c r="V79" s="46">
        <v>120352</v>
      </c>
      <c r="W79" s="46">
        <v>120353</v>
      </c>
      <c r="X79" s="46">
        <v>120354</v>
      </c>
      <c r="Y79" s="46">
        <v>120355</v>
      </c>
      <c r="Z79" s="46">
        <v>120356</v>
      </c>
      <c r="AA79" s="46">
        <v>120357</v>
      </c>
      <c r="AB79" s="46">
        <v>120358</v>
      </c>
      <c r="AC79" s="46">
        <v>120359</v>
      </c>
    </row>
    <row r="80" spans="1:39" ht="32.1" customHeight="1">
      <c r="A80" s="118"/>
      <c r="B80" s="96" t="str">
        <f>VLOOKUP("Stk",Sprachindex!A:Z,Info!$O$6,FALSE)</f>
        <v>STK</v>
      </c>
      <c r="C80" s="98"/>
      <c r="D80" s="95">
        <f t="shared" si="4"/>
        <v>0</v>
      </c>
      <c r="E80" s="250" t="str">
        <f>VLOOKUP("Eiskralle f. Einlegeprofil",Sprachindex!A:Z,Info!$O$6,FALSE)</f>
        <v>Eiskralle f. Einlegeprofil</v>
      </c>
      <c r="F80" s="251"/>
      <c r="G80" s="251"/>
      <c r="H80" s="251"/>
      <c r="I80" s="251"/>
      <c r="J80" s="251"/>
      <c r="K80" s="257"/>
      <c r="L80" s="96" t="str">
        <f t="shared" si="0"/>
        <v/>
      </c>
      <c r="M80" s="102"/>
      <c r="O80" s="1"/>
      <c r="P80" s="191" t="str">
        <f>ROUNDUP($A80/100,0)*100 &amp;" " &amp; Formeln!$A$111</f>
        <v>0 STK</v>
      </c>
      <c r="Q80" s="191" t="str">
        <f>ROUNDUP($A80,0) &amp;" " &amp; Formeln!$A$111</f>
        <v>0 STK</v>
      </c>
      <c r="T80" s="46">
        <v>120700</v>
      </c>
      <c r="U80" s="46">
        <v>120701</v>
      </c>
      <c r="V80" s="46">
        <v>120702</v>
      </c>
      <c r="W80" s="46">
        <v>120703</v>
      </c>
      <c r="X80" s="46">
        <v>120704</v>
      </c>
      <c r="Y80" s="46">
        <v>120705</v>
      </c>
      <c r="Z80" s="46">
        <v>120706</v>
      </c>
      <c r="AA80" s="46">
        <v>120707</v>
      </c>
      <c r="AB80" s="46">
        <v>120708</v>
      </c>
      <c r="AC80" s="46">
        <v>120709</v>
      </c>
    </row>
    <row r="81" spans="1:29" ht="32.1" customHeight="1">
      <c r="A81" s="118"/>
      <c r="B81" s="96" t="str">
        <f>VLOOKUP("Stk",Sprachindex!A:Z,Info!$O$6,FALSE)</f>
        <v>STK</v>
      </c>
      <c r="C81" s="98"/>
      <c r="D81" s="95">
        <f t="shared" si="4"/>
        <v>0</v>
      </c>
      <c r="E81" s="250" t="str">
        <f>VLOOKUP("Abschluss f. Schneerechensystem",Sprachindex!A:Z,Info!$O$6,FALSE)</f>
        <v>Abschluss f. Schneerechensystem</v>
      </c>
      <c r="F81" s="251"/>
      <c r="G81" s="251"/>
      <c r="H81" s="251"/>
      <c r="I81" s="251"/>
      <c r="J81" s="251"/>
      <c r="K81" s="257"/>
      <c r="L81" s="96" t="str">
        <f t="shared" si="0"/>
        <v/>
      </c>
      <c r="M81" s="102"/>
      <c r="O81" s="1"/>
      <c r="P81" s="191" t="str">
        <f>ROUNDUP($A81/2,0)*2 &amp;" " &amp; Formeln!$A$111</f>
        <v>0 STK</v>
      </c>
      <c r="Q81" s="191" t="str">
        <f>ROUNDUP($A81,0) &amp;" " &amp; Formeln!$A$111</f>
        <v>0 STK</v>
      </c>
      <c r="T81" s="46">
        <v>120390</v>
      </c>
      <c r="U81" s="46">
        <v>120391</v>
      </c>
      <c r="V81" s="46">
        <v>120392</v>
      </c>
      <c r="W81" s="46">
        <v>120393</v>
      </c>
      <c r="X81" s="46">
        <v>120394</v>
      </c>
      <c r="Y81" s="46">
        <v>120395</v>
      </c>
      <c r="Z81" s="46">
        <v>120396</v>
      </c>
      <c r="AA81" s="46">
        <v>120397</v>
      </c>
      <c r="AB81" s="46">
        <v>120398</v>
      </c>
      <c r="AC81" s="46">
        <v>120399</v>
      </c>
    </row>
    <row r="82" spans="1:29" ht="32.1" customHeight="1">
      <c r="A82" s="118"/>
      <c r="B82" s="96" t="str">
        <f>VLOOKUP("Stk",Sprachindex!A:Z,Info!$O$6,FALSE)</f>
        <v>STK</v>
      </c>
      <c r="C82" s="98"/>
      <c r="D82" s="95">
        <f t="shared" si="4"/>
        <v>0</v>
      </c>
      <c r="E82" s="250" t="str">
        <f>VLOOKUP("Gebirgsschneefangstütze, inkl. Befestigungsmaterial",Sprachindex!A:Z,Info!$O$6,FALSE)</f>
        <v>Gebirgsschneefangstütze, inkl. Befestigungsmaterial</v>
      </c>
      <c r="F82" s="251"/>
      <c r="G82" s="251"/>
      <c r="H82" s="251"/>
      <c r="I82" s="251"/>
      <c r="J82" s="251"/>
      <c r="K82" s="257"/>
      <c r="L82" s="96" t="str">
        <f t="shared" si="0"/>
        <v/>
      </c>
      <c r="M82" s="102"/>
      <c r="O82" s="1"/>
      <c r="P82" s="191" t="str">
        <f>ROUNDUP($A82/2,0)*2 &amp;" " &amp; Formeln!$A$111</f>
        <v>0 STK</v>
      </c>
      <c r="Q82" s="191" t="str">
        <f>ROUNDUP($A82,0) &amp;" " &amp; Formeln!$A$111</f>
        <v>0 STK</v>
      </c>
      <c r="T82" s="46">
        <v>120150</v>
      </c>
      <c r="U82" s="46">
        <v>120151</v>
      </c>
      <c r="V82" s="46">
        <v>120152</v>
      </c>
      <c r="W82" s="46">
        <v>120153</v>
      </c>
      <c r="X82" s="46">
        <v>120154</v>
      </c>
      <c r="Y82" s="46">
        <v>120155</v>
      </c>
      <c r="Z82" s="46">
        <v>120156</v>
      </c>
      <c r="AA82" s="46">
        <v>120157</v>
      </c>
      <c r="AB82" s="46">
        <v>120158</v>
      </c>
      <c r="AC82" s="46">
        <v>120159</v>
      </c>
    </row>
    <row r="83" spans="1:29" ht="32.1" customHeight="1">
      <c r="A83" s="118"/>
      <c r="B83" s="96" t="str">
        <f>VLOOKUP("Stk",Sprachindex!A:Z,Info!$O$6,FALSE)</f>
        <v>STK</v>
      </c>
      <c r="C83" s="98"/>
      <c r="D83" s="95">
        <f t="shared" si="4"/>
        <v>0</v>
      </c>
      <c r="E83" s="250" t="str">
        <f>VLOOKUP("Kaminhut, inkl. Kaminstreben, 700x700mm",Sprachindex!A:Z,Info!$O$6,FALSE)</f>
        <v>Kaminhut, inkl. Kaminstreben, 700x700mm</v>
      </c>
      <c r="F83" s="251"/>
      <c r="G83" s="251"/>
      <c r="H83" s="251"/>
      <c r="I83" s="251"/>
      <c r="J83" s="251"/>
      <c r="K83" s="257"/>
      <c r="L83" s="96" t="str">
        <f t="shared" si="0"/>
        <v/>
      </c>
      <c r="M83" s="102"/>
      <c r="O83" s="1"/>
      <c r="P83" s="191" t="str">
        <f>ROUNDUP($A83,0) &amp;" " &amp; Formeln!$A$111</f>
        <v>0 STK</v>
      </c>
      <c r="Q83" s="191" t="str">
        <f>ROUNDUP($A83,0) &amp;" " &amp; Formeln!$A$111</f>
        <v>0 STK</v>
      </c>
      <c r="T83" s="46">
        <v>110420</v>
      </c>
      <c r="U83" s="46">
        <v>110421</v>
      </c>
      <c r="V83" s="46">
        <v>110422</v>
      </c>
      <c r="W83" s="46">
        <v>110423</v>
      </c>
      <c r="X83" s="46">
        <v>110424</v>
      </c>
      <c r="Y83" s="46">
        <v>110425</v>
      </c>
      <c r="Z83" s="46">
        <v>110426</v>
      </c>
      <c r="AA83" s="46">
        <v>110427</v>
      </c>
      <c r="AB83" s="46">
        <v>110428</v>
      </c>
      <c r="AC83" s="46">
        <v>110429</v>
      </c>
    </row>
    <row r="84" spans="1:29" ht="32.1" customHeight="1">
      <c r="A84" s="118"/>
      <c r="B84" s="96" t="str">
        <f>VLOOKUP("Stk",Sprachindex!A:Z,Info!$O$6,FALSE)</f>
        <v>STK</v>
      </c>
      <c r="C84" s="98"/>
      <c r="D84" s="95">
        <f t="shared" si="4"/>
        <v>0</v>
      </c>
      <c r="E84" s="250" t="str">
        <f>VLOOKUP("Kaminhut, inkl. Kaminstreben, 800x800mm",Sprachindex!A:Z,Info!$O$6,FALSE)</f>
        <v>Kaminhut, inkl. Kaminstreben, 800x800mm</v>
      </c>
      <c r="F84" s="251"/>
      <c r="G84" s="251"/>
      <c r="H84" s="251"/>
      <c r="I84" s="251"/>
      <c r="J84" s="251"/>
      <c r="K84" s="257"/>
      <c r="L84" s="96" t="str">
        <f t="shared" si="0"/>
        <v/>
      </c>
      <c r="M84" s="102"/>
      <c r="O84" s="1"/>
      <c r="P84" s="191" t="str">
        <f>ROUNDUP($A84,0) &amp;" " &amp; Formeln!$A$111</f>
        <v>0 STK</v>
      </c>
      <c r="Q84" s="191" t="str">
        <f>ROUNDUP($A84,0) &amp;" " &amp; Formeln!$A$111</f>
        <v>0 STK</v>
      </c>
      <c r="T84" s="46">
        <v>110430</v>
      </c>
      <c r="U84" s="46">
        <v>110431</v>
      </c>
      <c r="V84" s="46">
        <v>110432</v>
      </c>
      <c r="W84" s="46">
        <v>110433</v>
      </c>
      <c r="X84" s="46">
        <v>110434</v>
      </c>
      <c r="Y84" s="46">
        <v>110435</v>
      </c>
      <c r="Z84" s="46">
        <v>110436</v>
      </c>
      <c r="AA84" s="46">
        <v>110437</v>
      </c>
      <c r="AB84" s="46">
        <v>110438</v>
      </c>
      <c r="AC84" s="46">
        <v>110439</v>
      </c>
    </row>
    <row r="85" spans="1:29" ht="32.1" customHeight="1">
      <c r="A85" s="118"/>
      <c r="B85" s="96" t="str">
        <f>VLOOKUP("Stk",Sprachindex!A:Z,Info!$O$6,FALSE)</f>
        <v>STK</v>
      </c>
      <c r="C85" s="98"/>
      <c r="D85" s="95">
        <f t="shared" si="4"/>
        <v>0</v>
      </c>
      <c r="E85" s="250" t="str">
        <f>VLOOKUP("Kaminhut, inkl. Kaminstreben, 1000x700mm",Sprachindex!A:Z,Info!$O$6,FALSE)</f>
        <v>Kaminhut, inkl. Kaminstreben, 1000x700mm</v>
      </c>
      <c r="F85" s="251"/>
      <c r="G85" s="251"/>
      <c r="H85" s="251"/>
      <c r="I85" s="251"/>
      <c r="J85" s="251"/>
      <c r="K85" s="257"/>
      <c r="L85" s="96" t="str">
        <f t="shared" si="0"/>
        <v/>
      </c>
      <c r="M85" s="102"/>
      <c r="O85" s="1"/>
      <c r="P85" s="191" t="str">
        <f>ROUNDUP($A85,0) &amp;" " &amp; Formeln!$A$111</f>
        <v>0 STK</v>
      </c>
      <c r="Q85" s="191" t="str">
        <f>ROUNDUP($A85,0) &amp;" " &amp; Formeln!$A$111</f>
        <v>0 STK</v>
      </c>
      <c r="T85" s="46">
        <v>110440</v>
      </c>
      <c r="U85" s="46">
        <v>110441</v>
      </c>
      <c r="V85" s="46">
        <v>110442</v>
      </c>
      <c r="W85" s="46">
        <v>110443</v>
      </c>
      <c r="X85" s="46">
        <v>110444</v>
      </c>
      <c r="Y85" s="46">
        <v>110445</v>
      </c>
      <c r="Z85" s="46">
        <v>110446</v>
      </c>
      <c r="AA85" s="46">
        <v>110447</v>
      </c>
      <c r="AB85" s="46">
        <v>110448</v>
      </c>
      <c r="AC85" s="46">
        <v>110449</v>
      </c>
    </row>
    <row r="86" spans="1:29" ht="32.1" customHeight="1">
      <c r="A86" s="118"/>
      <c r="B86" s="96" t="str">
        <f>VLOOKUP("Stk",Sprachindex!A:Z,Info!$O$6,FALSE)</f>
        <v>STK</v>
      </c>
      <c r="C86" s="98"/>
      <c r="D86" s="95">
        <f t="shared" si="4"/>
        <v>0</v>
      </c>
      <c r="E86" s="250" t="str">
        <f>VLOOKUP("Kaminhut, inkl. Kaminstreben, 1100x800mm",Sprachindex!A:Z,Info!$O$6,FALSE)</f>
        <v>Kaminhut, inkl. Kaminstreben, 1100x800mm</v>
      </c>
      <c r="F86" s="251"/>
      <c r="G86" s="251"/>
      <c r="H86" s="251"/>
      <c r="I86" s="251"/>
      <c r="J86" s="251"/>
      <c r="K86" s="257"/>
      <c r="L86" s="96" t="str">
        <f t="shared" si="0"/>
        <v/>
      </c>
      <c r="M86" s="102"/>
      <c r="O86" s="1"/>
      <c r="P86" s="191" t="str">
        <f>ROUNDUP($A86,0) &amp;" " &amp; Formeln!$A$111</f>
        <v>0 STK</v>
      </c>
      <c r="Q86" s="191" t="str">
        <f>ROUNDUP($A86,0) &amp;" " &amp; Formeln!$A$111</f>
        <v>0 STK</v>
      </c>
      <c r="T86" s="46">
        <v>110450</v>
      </c>
      <c r="U86" s="46">
        <v>110451</v>
      </c>
      <c r="V86" s="46">
        <v>110452</v>
      </c>
      <c r="W86" s="46">
        <v>110453</v>
      </c>
      <c r="X86" s="46">
        <v>110454</v>
      </c>
      <c r="Y86" s="46">
        <v>110455</v>
      </c>
      <c r="Z86" s="46">
        <v>110456</v>
      </c>
      <c r="AA86" s="46">
        <v>110457</v>
      </c>
      <c r="AB86" s="46">
        <v>110458</v>
      </c>
      <c r="AC86" s="46">
        <v>110459</v>
      </c>
    </row>
    <row r="87" spans="1:29" ht="32.1" customHeight="1">
      <c r="A87" s="118"/>
      <c r="B87" s="96" t="str">
        <f>VLOOKUP("Stk",Sprachindex!A:Z,Info!$O$6,FALSE)</f>
        <v>STK</v>
      </c>
      <c r="C87" s="98"/>
      <c r="D87" s="95">
        <f t="shared" si="4"/>
        <v>0</v>
      </c>
      <c r="E87" s="250" t="str">
        <f>VLOOKUP("Kaminhut, inkl. Kaminstreben, 1500x800mm",Sprachindex!A:Z,Info!$O$6,FALSE)</f>
        <v>Kaminhut, inkl. Kaminstreben, 1500x800mm</v>
      </c>
      <c r="F87" s="251"/>
      <c r="G87" s="251"/>
      <c r="H87" s="251"/>
      <c r="I87" s="251"/>
      <c r="J87" s="251"/>
      <c r="K87" s="257"/>
      <c r="L87" s="96" t="str">
        <f t="shared" si="0"/>
        <v/>
      </c>
      <c r="M87" s="102"/>
      <c r="O87" s="1"/>
      <c r="P87" s="191" t="str">
        <f>ROUNDUP($A87,0) &amp;" " &amp; Formeln!$A$111</f>
        <v>0 STK</v>
      </c>
      <c r="Q87" s="191" t="str">
        <f>ROUNDUP($A87,0) &amp;" " &amp; Formeln!$A$111</f>
        <v>0 STK</v>
      </c>
      <c r="T87" s="46">
        <v>110460</v>
      </c>
      <c r="U87" s="46">
        <v>110461</v>
      </c>
      <c r="V87" s="46">
        <v>110462</v>
      </c>
      <c r="W87" s="46">
        <v>110463</v>
      </c>
      <c r="X87" s="46">
        <v>110464</v>
      </c>
      <c r="Y87" s="46">
        <v>110465</v>
      </c>
      <c r="Z87" s="46">
        <v>110466</v>
      </c>
      <c r="AA87" s="46">
        <v>110467</v>
      </c>
      <c r="AB87" s="46">
        <v>110468</v>
      </c>
      <c r="AC87" s="46">
        <v>110469</v>
      </c>
    </row>
    <row r="88" spans="1:29" ht="32.1" customHeight="1">
      <c r="A88" s="118"/>
      <c r="B88" s="96" t="str">
        <f>VLOOKUP("Stk",Sprachindex!A:Z,Info!$O$6,FALSE)</f>
        <v>STK</v>
      </c>
      <c r="C88" s="98"/>
      <c r="D88" s="95">
        <f t="shared" si="4"/>
        <v>0</v>
      </c>
      <c r="E88" s="250" t="str">
        <f>VLOOKUP("Kaminstreben, gebogen",Sprachindex!A:Z,Info!$O$6,FALSE)</f>
        <v>Kaminstreben, gebogen</v>
      </c>
      <c r="F88" s="251"/>
      <c r="G88" s="251"/>
      <c r="H88" s="251"/>
      <c r="I88" s="251"/>
      <c r="J88" s="251"/>
      <c r="K88" s="257"/>
      <c r="L88" s="96" t="str">
        <f t="shared" si="0"/>
        <v/>
      </c>
      <c r="M88" s="102"/>
      <c r="O88" s="1"/>
      <c r="P88" s="191" t="str">
        <f>ROUNDUP($A88/10,0)*10 &amp;" " &amp; Formeln!$A$111</f>
        <v>0 STK</v>
      </c>
      <c r="Q88" s="191" t="str">
        <f>ROUNDUP($A88,0) &amp;" " &amp; Formeln!$A$111</f>
        <v>0 STK</v>
      </c>
      <c r="T88" s="46">
        <v>110410</v>
      </c>
      <c r="U88" s="46">
        <v>110411</v>
      </c>
      <c r="V88" s="46">
        <v>110412</v>
      </c>
      <c r="W88" s="46">
        <v>110413</v>
      </c>
      <c r="X88" s="46">
        <v>110414</v>
      </c>
      <c r="Y88" s="46">
        <v>110415</v>
      </c>
      <c r="Z88" s="46">
        <v>110416</v>
      </c>
      <c r="AA88" s="46">
        <v>110417</v>
      </c>
      <c r="AB88" s="46">
        <v>110418</v>
      </c>
      <c r="AC88" s="46">
        <v>110419</v>
      </c>
    </row>
    <row r="89" spans="1:29" ht="32.1" customHeight="1">
      <c r="A89" s="118"/>
      <c r="B89" s="96" t="str">
        <f>VLOOKUP("lfm",Sprachindex!A:Z,Info!$O$6,FALSE)</f>
        <v>lfm</v>
      </c>
      <c r="C89" s="98"/>
      <c r="D89" s="95">
        <f t="shared" si="4"/>
        <v>0</v>
      </c>
      <c r="E89" s="250" t="str">
        <f>VLOOKUP("Kaminstreben, 7x35x3000mm",Sprachindex!A:Z,Info!$O$6,FALSE)</f>
        <v>Kaminstreben, 7x35x3000mm</v>
      </c>
      <c r="F89" s="251"/>
      <c r="G89" s="251"/>
      <c r="H89" s="251"/>
      <c r="I89" s="251"/>
      <c r="J89" s="251"/>
      <c r="K89" s="257"/>
      <c r="L89" s="96" t="str">
        <f t="shared" si="0"/>
        <v/>
      </c>
      <c r="M89" s="102"/>
      <c r="O89" s="1"/>
      <c r="P89" s="191" t="str">
        <f>ROUNDUP($A89/3,0)*3 &amp;" " &amp; Formeln!$A$112 &amp; "                " &amp; "(="&amp;ROUNDUP($A89/3,0) &amp; " " &amp;Formeln!$A$111 &amp; ")"</f>
        <v>0 lfm                (=0 STK)</v>
      </c>
      <c r="Q89" s="191" t="str">
        <f>ROUNDUP($A89/3,0)*3 &amp;" " &amp; Formeln!$A$112 &amp; "                " &amp; "(="&amp;ROUNDUP($A89/3,0) &amp; " " &amp;Formeln!$A$111 &amp; ")"</f>
        <v>0 lfm                (=0 STK)</v>
      </c>
      <c r="T89" s="46">
        <v>110400</v>
      </c>
      <c r="U89" s="46">
        <v>110401</v>
      </c>
      <c r="V89" s="46">
        <v>110402</v>
      </c>
      <c r="W89" s="46">
        <v>110403</v>
      </c>
      <c r="X89" s="46">
        <v>110404</v>
      </c>
      <c r="Y89" s="46">
        <v>110405</v>
      </c>
      <c r="Z89" s="46">
        <v>110406</v>
      </c>
      <c r="AA89" s="46">
        <v>110407</v>
      </c>
      <c r="AB89" s="46">
        <v>110408</v>
      </c>
      <c r="AC89" s="140" t="s">
        <v>50</v>
      </c>
    </row>
    <row r="90" spans="1:29" ht="32.1" customHeight="1">
      <c r="A90" s="118"/>
      <c r="B90" s="96" t="str">
        <f>VLOOKUP("Stk",Sprachindex!A:Z,Info!$O$6,FALSE)</f>
        <v>STK</v>
      </c>
      <c r="C90" s="98"/>
      <c r="D90" s="95">
        <f t="shared" si="4"/>
        <v>0</v>
      </c>
      <c r="E90" s="250" t="str">
        <f>VLOOKUP("Hauerbuckel ",Sprachindex!A:Z,Info!$O$6,FALSE)</f>
        <v xml:space="preserve">Hauerbuckel </v>
      </c>
      <c r="F90" s="251"/>
      <c r="G90" s="251"/>
      <c r="H90" s="251"/>
      <c r="I90" s="251"/>
      <c r="J90" s="251"/>
      <c r="K90" s="257"/>
      <c r="L90" s="96" t="str">
        <f t="shared" si="0"/>
        <v/>
      </c>
      <c r="M90" s="102"/>
      <c r="O90" s="1"/>
      <c r="P90" s="191" t="str">
        <f>ROUNDUP($A90,0) &amp;" " &amp; Formeln!$A$111</f>
        <v>0 STK</v>
      </c>
      <c r="Q90" s="191" t="str">
        <f>ROUNDUP($A90,0) &amp;" " &amp; Formeln!$A$111</f>
        <v>0 STK</v>
      </c>
      <c r="T90" s="46">
        <v>112401</v>
      </c>
      <c r="U90" s="46">
        <v>112402</v>
      </c>
      <c r="V90" s="46">
        <v>112403</v>
      </c>
      <c r="W90" s="46">
        <v>112404</v>
      </c>
      <c r="X90" s="46">
        <v>112405</v>
      </c>
      <c r="Y90" s="46">
        <v>112406</v>
      </c>
      <c r="Z90" s="46">
        <v>112407</v>
      </c>
      <c r="AA90" s="46">
        <v>112408</v>
      </c>
      <c r="AB90" s="46">
        <v>112409</v>
      </c>
      <c r="AC90" s="46">
        <v>112410</v>
      </c>
    </row>
    <row r="91" spans="1:29" ht="32.1" customHeight="1">
      <c r="A91" s="118"/>
      <c r="B91" s="96" t="str">
        <f>VLOOKUP("Stk",Sprachindex!A:Z,Info!$O$6,FALSE)</f>
        <v>STK</v>
      </c>
      <c r="C91" s="98"/>
      <c r="D91" s="95">
        <v>340404</v>
      </c>
      <c r="E91" s="250" t="str">
        <f>VLOOKUP("Dachleitungshalter für Blitzschutzdraht",Sprachindex!A:Z,Info!$O$6,FALSE)</f>
        <v>Dachleitungshalter für Blitzschutzdraht</v>
      </c>
      <c r="F91" s="251"/>
      <c r="G91" s="251"/>
      <c r="H91" s="251"/>
      <c r="I91" s="251"/>
      <c r="J91" s="251"/>
      <c r="K91" s="257"/>
      <c r="L91" s="96" t="str">
        <f t="shared" si="0"/>
        <v/>
      </c>
      <c r="M91" s="102"/>
      <c r="O91" s="1"/>
      <c r="P91" s="191" t="str">
        <f>ROUNDUP($A91/50,0)*50 &amp;" " &amp; Formeln!$A$111</f>
        <v>0 STK</v>
      </c>
      <c r="Q91" s="191" t="str">
        <f>ROUNDUP($A91,0) &amp;" " &amp; Formeln!$A$111</f>
        <v>0 STK</v>
      </c>
      <c r="T91" s="159"/>
      <c r="U91" s="159"/>
      <c r="V91" s="159"/>
      <c r="W91" s="159"/>
      <c r="X91" s="159"/>
      <c r="Y91" s="159"/>
      <c r="Z91" s="159"/>
      <c r="AA91" s="159"/>
      <c r="AB91" s="159"/>
      <c r="AC91" s="159"/>
    </row>
    <row r="92" spans="1:29" ht="32.1" customHeight="1">
      <c r="A92" s="118"/>
      <c r="B92" s="96" t="str">
        <f>VLOOKUP("Stk",Sprachindex!A:Z,Info!$O$6,FALSE)</f>
        <v>STK</v>
      </c>
      <c r="C92" s="95"/>
      <c r="D92" s="95">
        <v>420501</v>
      </c>
      <c r="E92" s="258" t="str">
        <f>VLOOKUP("Spezialkleber",Sprachindex!A:Z,Info!$O$6,FALSE)</f>
        <v>Spezialkleber</v>
      </c>
      <c r="F92" s="259"/>
      <c r="G92" s="259"/>
      <c r="H92" s="259"/>
      <c r="I92" s="259"/>
      <c r="J92" s="259"/>
      <c r="K92" s="260"/>
      <c r="L92" s="96" t="str">
        <f t="shared" si="0"/>
        <v/>
      </c>
      <c r="M92" s="102"/>
      <c r="O92" s="1"/>
      <c r="P92" s="191" t="str">
        <f>ROUNDUP($A92,0) &amp;" " &amp; Formeln!$A$111</f>
        <v>0 STK</v>
      </c>
      <c r="Q92" s="191" t="str">
        <f>ROUNDUP($A92,0) &amp;" " &amp; Formeln!$A$111</f>
        <v>0 STK</v>
      </c>
    </row>
    <row r="93" spans="1:29" ht="32.1" customHeight="1">
      <c r="A93" s="118"/>
      <c r="B93" s="96" t="str">
        <f>VLOOKUP("Set",Sprachindex!A:Z,Info!$O$6,FALSE)</f>
        <v>Set</v>
      </c>
      <c r="C93" s="98"/>
      <c r="D93" s="95">
        <v>420500</v>
      </c>
      <c r="E93" s="250" t="str">
        <f>VLOOKUP("Spezialkleber-Set",Sprachindex!A:Z,Info!$O$6,FALSE)</f>
        <v>Spezialkleber-Set</v>
      </c>
      <c r="F93" s="251"/>
      <c r="G93" s="251"/>
      <c r="H93" s="251"/>
      <c r="I93" s="251"/>
      <c r="J93" s="251"/>
      <c r="K93" s="257"/>
      <c r="L93" s="96" t="str">
        <f t="shared" si="0"/>
        <v/>
      </c>
      <c r="M93" s="102"/>
      <c r="O93" s="1"/>
      <c r="P93" s="191" t="str">
        <f>ROUNDUP($A93,0) &amp;" " &amp; IF($A93&lt;=1,Formeln!$A$119,IF($A93&gt;1,Formeln!$A$120,""))</f>
        <v>0 Set</v>
      </c>
      <c r="Q93" s="191" t="str">
        <f>ROUNDUP($A93,0) &amp;" " &amp; IF($A93&lt;=1,Formeln!$A$119,IF($A93&gt;1,Formeln!$A$120,""))</f>
        <v>0 Set</v>
      </c>
    </row>
    <row r="94" spans="1:29" ht="32.1" customHeight="1">
      <c r="A94" s="118"/>
      <c r="B94" s="96" t="str">
        <f>VLOOKUP("Stk",Sprachindex!A:Z,Info!$O$6,FALSE)</f>
        <v>STK</v>
      </c>
      <c r="C94" s="98"/>
      <c r="D94" s="95">
        <v>340415</v>
      </c>
      <c r="E94" s="250" t="str">
        <f>VLOOKUP("SDH Schraubensatz f.Aufsparrendäm.",Sprachindex!A:Z,Info!$O$6,FALSE)</f>
        <v>SDH Schraubensatz f.Aufsparrendäm.</v>
      </c>
      <c r="F94" s="251"/>
      <c r="G94" s="251"/>
      <c r="H94" s="251"/>
      <c r="I94" s="251"/>
      <c r="J94" s="251"/>
      <c r="K94" s="257"/>
      <c r="L94" s="96" t="str">
        <f>IF($A94=0,"",IF($N$11=1,P94,Q94))</f>
        <v/>
      </c>
      <c r="M94" s="102"/>
      <c r="O94" s="1"/>
      <c r="P94" s="191" t="str">
        <f>ROUNDUP($A94,0) &amp;" " &amp; Formeln!$A$111</f>
        <v>0 STK</v>
      </c>
      <c r="Q94" s="191" t="str">
        <f>ROUNDUP($A94,0) &amp;" " &amp; Formeln!$A$111</f>
        <v>0 STK</v>
      </c>
    </row>
    <row r="95" spans="1:29" ht="32.1" customHeight="1">
      <c r="A95" s="118"/>
      <c r="B95" s="96" t="str">
        <f>VLOOKUP("Stk",Sprachindex!A:Z,Info!$O$6,FALSE)</f>
        <v>STK</v>
      </c>
      <c r="C95" s="98"/>
      <c r="D95" s="95">
        <v>340416</v>
      </c>
      <c r="E95" s="250" t="str">
        <f>VLOOKUP("SDH Bohrsatz,für Aufsparrendämmung",Sprachindex!A:Z,Info!$O$6,FALSE)</f>
        <v>SDH Bohrsatz,für Aufsparrendämmung</v>
      </c>
      <c r="F95" s="251"/>
      <c r="G95" s="251"/>
      <c r="H95" s="251"/>
      <c r="I95" s="251"/>
      <c r="J95" s="251"/>
      <c r="K95" s="257"/>
      <c r="L95" s="96" t="str">
        <f>IF($A95=0,"",IF($N$11=1,P95,Q95))</f>
        <v/>
      </c>
      <c r="M95" s="102"/>
      <c r="O95" s="1"/>
      <c r="P95" s="191" t="str">
        <f>ROUNDUP($A95,0) &amp;" " &amp; Formeln!$A$111</f>
        <v>0 STK</v>
      </c>
      <c r="Q95" s="191" t="str">
        <f>ROUNDUP($A95,0) &amp;" " &amp; Formeln!$A$111</f>
        <v>0 STK</v>
      </c>
    </row>
    <row r="96" spans="1:29" ht="32.1" customHeight="1">
      <c r="A96" s="118"/>
      <c r="B96" s="96" t="str">
        <f>VLOOKUP("kg",Sprachindex!A:Z,Info!$O$6,FALSE)</f>
        <v>kg</v>
      </c>
      <c r="C96" s="98"/>
      <c r="D96" s="98">
        <f>IF(I96=Formeln!A104,X96,IF(I96=Formeln!A105,T96,IF(I96=Formeln!A106,U96,IF(I96=Formeln!A107,V96,IF(I96=Formeln!A108,W96,0)))))</f>
        <v>0</v>
      </c>
      <c r="E96" s="265" t="str">
        <f>VLOOKUP("Lochblech, 0,70x1000mm
in Rollen zu 24kg ",Sprachindex!A:Z,Info!$O$6,FALSE)</f>
        <v xml:space="preserve">Lochblech, 0,70x1000mm
in Rollen zu 24kg </v>
      </c>
      <c r="F96" s="266"/>
      <c r="G96" s="266"/>
      <c r="H96" s="266"/>
      <c r="I96" s="252"/>
      <c r="J96" s="267"/>
      <c r="K96" s="267"/>
      <c r="L96" s="183" t="str">
        <f>IF($A96=0,"",IF($I96=Formeln!$A$103," ",IF($N$11=1,P96,Q96)))</f>
        <v/>
      </c>
      <c r="M96" s="102"/>
      <c r="O96" s="1"/>
      <c r="P96" s="191" t="str">
        <f>ROUNDUP($A96/24,0)*24 &amp; " " &amp; Formeln!$A$114 &amp; "        " &amp; "(="&amp;ROUNDUP($A96/24,0) &amp; " " &amp;R96&amp; ")"</f>
        <v>0 kg        (=0 Rolle)</v>
      </c>
      <c r="Q96" s="191" t="str">
        <f>ROUNDUP($A96,0) &amp; " " &amp; Formeln!$A$114 &amp; "        " &amp; "(="&amp;ROUNDUP($A96/24,1) &amp; " " &amp;R96&amp; ")"</f>
        <v>0 kg        (=0 Rolle)</v>
      </c>
      <c r="R96" s="8" t="str">
        <f>IF(A96&gt;24, Formeln!A116, Formeln!A115)</f>
        <v>Rolle</v>
      </c>
      <c r="T96" s="46">
        <v>507202</v>
      </c>
      <c r="U96" s="46">
        <v>507203</v>
      </c>
      <c r="V96" s="46">
        <v>507204</v>
      </c>
      <c r="W96" s="46">
        <v>507205</v>
      </c>
      <c r="X96" s="46">
        <v>507206</v>
      </c>
    </row>
    <row r="97" spans="1:39" ht="32.1" customHeight="1">
      <c r="A97" s="118"/>
      <c r="B97" s="96" t="str">
        <f>VLOOKUP("kg",Sprachindex!A:Z,Info!$O$6,FALSE)</f>
        <v>kg</v>
      </c>
      <c r="C97" s="98"/>
      <c r="D97" s="98">
        <f>IF(AND(I97=Formeln!A21,K97=Formeln!A126),T97,IF(AND(I97=Formeln!A21,K97=Formeln!A129),U97,IF(AND(I97=Formeln!A21,K97=Formeln!A131),V97,IF(AND(I97=Formeln!A21,K97=Formeln!A129),AE97,IF(AND(I97=Formeln!A21,K97=Formeln!A125),W97,IF(AND(I97=Formeln!A21,K97=Formeln!A134),X97,IF(AND(I97=Formeln!A21,K97=Formeln!A128),Y97,IF(AND(I97=Formeln!A21,K97=Formeln!A132),Z97,IF(AND(I97=Formeln!A21,K97=Formeln!A130),AA97,IF(AND(I97=Formeln!A21,K97=Formeln!A127),AB97,IF(AND(I97=Formeln!A21,K97=Formeln!A133),AC97,IF(AND(I97=Formeln!A22,K97=Formeln!A126),AD97,IF(AND(I97=Formeln!A22,K97=Formeln!A129),AE97,IF(AND(I97=Formeln!A22,K97=Formeln!A131),AF97,IF(AND(I97=Formeln!A22,K97=Formeln!A129),AE97,IF(AND(I97=Formeln!A22,K97=Formeln!A125),AG97,IF(AND(I97=Formeln!A22,K97=Formeln!A134),AH97,IF(AND(I97=Formeln!A22,K97=Formeln!A128),AI97,IF(AND(I97=Formeln!A22,K97=Formeln!A132),AJ97,IF(AND(I97=Formeln!A22,K97=Formeln!A130),AK97,IF(AND(I97=Formeln!A22,K97=Formeln!A127),AL97,IF(AND(I97=Formeln!A22,K97=Formeln!A133),AM97,0))))))))))))))))))))))</f>
        <v>0</v>
      </c>
      <c r="E97" s="250" t="str">
        <f>VLOOKUP("PREFALZ 0.7x1000 stucco, in Rollen zu 60kg",Sprachindex!A:Z,Info!$O$6,FALSE)</f>
        <v>PREFALZ 0.7x1000 stucco, in Rollen zu 60kg</v>
      </c>
      <c r="F97" s="251"/>
      <c r="G97" s="251"/>
      <c r="H97" s="103" t="str">
        <f>VLOOKUP("Oberfläche:",Sprachindex!A:Z,Info!$O$6,FALSE)</f>
        <v>Oberfläche:</v>
      </c>
      <c r="I97" s="104"/>
      <c r="J97" s="101" t="str">
        <f>VLOOKUP("Farbe:",Sprachindex!A:Z,Info!$O$6,FALSE)</f>
        <v>Farbe:</v>
      </c>
      <c r="K97" s="225"/>
      <c r="L97" s="183" t="str">
        <f>IF($A97=0,"",IF(OR($I97=Formeln!$A$20,$K97=Formeln!$A$124)," ",IF($N$11=1,P97,Q97)))</f>
        <v/>
      </c>
      <c r="M97" s="102"/>
      <c r="O97" s="1"/>
      <c r="P97" s="208" t="str">
        <f>ROUNDUP($A97/60,0)*60 &amp; " " &amp; Formeln!$A$114 &amp; "        " &amp; "(="&amp;ROUNDUP($A97/60,0) &amp; " " &amp;R97&amp; ")"</f>
        <v>0 kg        (=0 Rolle)</v>
      </c>
      <c r="Q97" s="208" t="str">
        <f>ROUNDUP($A97,0) &amp; " " &amp; Formeln!$A$114 &amp; "        " &amp; "(="&amp;ROUNDUP($A97/60,1) &amp; " " &amp;R97&amp; ")"</f>
        <v>0 kg        (=0 Rolle)</v>
      </c>
      <c r="R97" s="8" t="str">
        <f>IF(A97&gt;60, Formeln!A116, Formeln!A115)</f>
        <v>Rolle</v>
      </c>
      <c r="T97" s="140" t="s">
        <v>51</v>
      </c>
      <c r="U97" s="140" t="s">
        <v>52</v>
      </c>
      <c r="V97" s="140" t="s">
        <v>53</v>
      </c>
      <c r="W97" s="140" t="s">
        <v>54</v>
      </c>
      <c r="X97" s="140" t="s">
        <v>55</v>
      </c>
      <c r="Y97" s="140" t="s">
        <v>56</v>
      </c>
      <c r="Z97" s="140" t="s">
        <v>57</v>
      </c>
      <c r="AA97" s="140" t="s">
        <v>58</v>
      </c>
      <c r="AB97" s="140" t="s">
        <v>59</v>
      </c>
      <c r="AC97" s="140" t="s">
        <v>60</v>
      </c>
      <c r="AD97" s="140" t="s">
        <v>61</v>
      </c>
      <c r="AE97" s="140" t="s">
        <v>62</v>
      </c>
      <c r="AF97" s="140" t="s">
        <v>63</v>
      </c>
      <c r="AG97" s="140" t="s">
        <v>64</v>
      </c>
      <c r="AH97" s="140" t="s">
        <v>65</v>
      </c>
      <c r="AI97" s="140" t="s">
        <v>66</v>
      </c>
      <c r="AJ97" s="140" t="s">
        <v>67</v>
      </c>
      <c r="AK97" s="140" t="s">
        <v>68</v>
      </c>
      <c r="AL97" s="140" t="s">
        <v>69</v>
      </c>
      <c r="AM97" s="140" t="s">
        <v>70</v>
      </c>
    </row>
    <row r="98" spans="1:39" ht="32.1" customHeight="1">
      <c r="A98" s="195"/>
      <c r="B98" s="196"/>
      <c r="C98" s="196"/>
      <c r="D98" s="196"/>
      <c r="E98" s="268"/>
      <c r="F98" s="269"/>
      <c r="G98" s="269"/>
      <c r="H98" s="269"/>
      <c r="I98" s="269"/>
      <c r="J98" s="269"/>
      <c r="K98" s="270"/>
      <c r="L98" s="196"/>
      <c r="M98" s="197"/>
      <c r="O98" s="1"/>
      <c r="P98" s="8"/>
      <c r="Q98" s="8"/>
    </row>
    <row r="99" spans="1:39" ht="32.1" customHeight="1">
      <c r="A99" s="195"/>
      <c r="B99" s="196"/>
      <c r="C99" s="196"/>
      <c r="D99" s="196"/>
      <c r="E99" s="268"/>
      <c r="F99" s="269"/>
      <c r="G99" s="269"/>
      <c r="H99" s="269"/>
      <c r="I99" s="269"/>
      <c r="J99" s="269"/>
      <c r="K99" s="270"/>
      <c r="L99" s="196"/>
      <c r="M99" s="197"/>
      <c r="O99" s="1"/>
      <c r="P99" s="8"/>
      <c r="Q99" s="8"/>
    </row>
    <row r="100" spans="1:39" ht="32.1" customHeight="1" thickBot="1">
      <c r="A100" s="198"/>
      <c r="B100" s="199"/>
      <c r="C100" s="199"/>
      <c r="D100" s="199"/>
      <c r="E100" s="271"/>
      <c r="F100" s="272"/>
      <c r="G100" s="272"/>
      <c r="H100" s="272"/>
      <c r="I100" s="272"/>
      <c r="J100" s="272"/>
      <c r="K100" s="273"/>
      <c r="L100" s="199"/>
      <c r="M100" s="200"/>
      <c r="O100" s="1"/>
      <c r="P100" s="8"/>
      <c r="Q100" s="8"/>
    </row>
    <row r="101" spans="1:39" ht="15" customHeight="1">
      <c r="A101" s="86"/>
      <c r="B101" s="86"/>
      <c r="C101" s="8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</row>
    <row r="102" spans="1:39" ht="17.399999999999999">
      <c r="A102" s="86"/>
      <c r="B102" s="86"/>
      <c r="C102" s="108" t="str">
        <f>VLOOKUP("Zusatzvermerk:",Sprachindex!A:Z,Info!$O$6,FALSE)</f>
        <v>Zusatzvermerk:</v>
      </c>
      <c r="D102" s="275"/>
      <c r="E102" s="275"/>
      <c r="F102" s="275"/>
      <c r="G102" s="275"/>
      <c r="H102" s="275"/>
      <c r="I102" s="275"/>
      <c r="J102" s="275"/>
      <c r="K102" s="275"/>
      <c r="L102" s="275"/>
      <c r="M102" s="275"/>
    </row>
    <row r="103" spans="1:39" ht="17.399999999999999">
      <c r="A103" s="86"/>
      <c r="B103" s="86"/>
      <c r="C103" s="86"/>
      <c r="D103" s="274"/>
      <c r="E103" s="274"/>
      <c r="F103" s="274"/>
      <c r="G103" s="274"/>
      <c r="H103" s="274"/>
      <c r="I103" s="274"/>
      <c r="J103" s="274"/>
      <c r="K103" s="274"/>
      <c r="L103" s="274"/>
      <c r="M103" s="274"/>
    </row>
    <row r="104" spans="1:39" ht="17.399999999999999">
      <c r="A104" s="86"/>
      <c r="B104" s="86"/>
      <c r="C104" s="86"/>
      <c r="D104" s="275"/>
      <c r="E104" s="275"/>
      <c r="F104" s="275"/>
      <c r="G104" s="275"/>
      <c r="H104" s="275"/>
      <c r="I104" s="275"/>
      <c r="J104" s="275"/>
      <c r="K104" s="275"/>
      <c r="L104" s="275"/>
      <c r="M104" s="275"/>
    </row>
    <row r="105" spans="1:39" ht="17.399999999999999">
      <c r="A105" s="86"/>
      <c r="B105" s="86"/>
      <c r="C105" s="86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</row>
    <row r="106" spans="1:39" ht="17.399999999999999">
      <c r="A106" s="86"/>
      <c r="B106" s="86"/>
      <c r="C106" s="86"/>
      <c r="D106" s="275"/>
      <c r="E106" s="275"/>
      <c r="F106" s="275"/>
      <c r="G106" s="275"/>
      <c r="H106" s="275"/>
      <c r="I106" s="275"/>
      <c r="J106" s="275"/>
      <c r="K106" s="275"/>
      <c r="L106" s="275"/>
      <c r="M106" s="275"/>
    </row>
    <row r="107" spans="1:39" ht="17.399999999999999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</row>
    <row r="108" spans="1:39" ht="17.399999999999999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1:39" ht="17.399999999999999">
      <c r="A109" s="109" t="str">
        <f>VLOOKUP("Anwendungstechnik",Sprachindex!A:Z,Info!$O$6,FALSE)</f>
        <v>Anwendungstechnik</v>
      </c>
      <c r="B109" s="110"/>
      <c r="C109" s="110"/>
      <c r="D109" s="264"/>
      <c r="E109" s="264"/>
      <c r="F109" s="264"/>
      <c r="G109" s="264"/>
      <c r="H109" s="264"/>
      <c r="I109" s="264"/>
      <c r="J109" s="264"/>
      <c r="K109" s="111" t="str">
        <f>VLOOKUP("Stand:",Sprachindex!A:Z,Info!$O$6,FALSE)</f>
        <v>Stand:</v>
      </c>
      <c r="L109" s="277">
        <v>44546</v>
      </c>
      <c r="M109" s="278"/>
    </row>
    <row r="110" spans="1:39" ht="13.8"/>
    <row r="111" spans="1:39" ht="13.8" hidden="1"/>
    <row r="112" spans="1:39" ht="13.8" hidden="1"/>
    <row r="113" ht="13.8" hidden="1"/>
    <row r="114" ht="13.8" hidden="1"/>
    <row r="115" ht="13.8" hidden="1"/>
    <row r="116" ht="13.8" hidden="1"/>
    <row r="117" ht="13.8" hidden="1"/>
    <row r="118" ht="14.25" hidden="1" customHeight="1"/>
    <row r="119" ht="14.25" hidden="1" customHeight="1"/>
    <row r="120" ht="14.25" hidden="1" customHeight="1"/>
  </sheetData>
  <sheetProtection password="8D71" sheet="1" objects="1" scenarios="1" selectLockedCells="1" autoFilter="0"/>
  <protectedRanges>
    <protectedRange password="DEBF" sqref="R96:R97" name="darf vom Benutzer nicht verändert werden_1_12"/>
    <protectedRange password="DEBF" sqref="P98:Q100" name="darf vom Benutzer nicht verändert werden_1_5_10"/>
    <protectedRange password="DEBF" sqref="P31:P32" name="darf vom Benutzer nicht verändert werden_1_5_2_2_2_1"/>
    <protectedRange password="DEBF" sqref="P33" name="darf vom Benutzer nicht verändert werden_1_5_2_7"/>
    <protectedRange password="DEBF" sqref="Q33" name="darf vom Benutzer nicht verändert werden_1_3"/>
    <protectedRange password="DEBF" sqref="Q34" name="darf vom Benutzer nicht verändert werden_1_1"/>
    <protectedRange password="DEBF" sqref="P34" name="darf vom Benutzer nicht verändert werden_1_4_1"/>
    <protectedRange password="DEBF" sqref="Q35" name="darf vom Benutzer nicht verändert werden_1_2"/>
    <protectedRange password="DEBF" sqref="P35" name="darf vom Benutzer nicht verändert werden_1_5_2_5_1"/>
    <protectedRange password="DEBF" sqref="P36:Q36" name="darf vom Benutzer nicht verändert werden_1_5_8"/>
    <protectedRange password="DEBF" sqref="Q37" name="darf vom Benutzer nicht verändert werden_1_2_6"/>
    <protectedRange password="DEBF" sqref="P37" name="darf vom Benutzer nicht verändert werden_1_5_12"/>
    <protectedRange password="DEBF" sqref="P38:Q38" name="darf vom Benutzer nicht verändert werden_1_5_11"/>
    <protectedRange password="DEBF" sqref="P39:Q51" name="darf vom Benutzer nicht verändert werden_1_5_14"/>
    <protectedRange password="DEBF" sqref="P52:Q68" name="darf vom Benutzer nicht verändert werden_1_5_15"/>
    <protectedRange password="DEBF" sqref="P69:Q92" name="darf vom Benutzer nicht verändert werden_1_5_16"/>
    <protectedRange password="DEBF" sqref="P94:Q97" name="darf vom Benutzer nicht verändert werden_1_5_17"/>
    <protectedRange password="DEBF" sqref="P93:Q93" name="darf vom Benutzer nicht verändert werden_1_5"/>
  </protectedRanges>
  <autoFilter ref="A29:A100" xr:uid="{00000000-0009-0000-0000-000007000000}"/>
  <mergeCells count="109">
    <mergeCell ref="P29:Q29"/>
    <mergeCell ref="E80:K80"/>
    <mergeCell ref="E81:K81"/>
    <mergeCell ref="E70:K70"/>
    <mergeCell ref="E58:K58"/>
    <mergeCell ref="E63:K63"/>
    <mergeCell ref="E64:K64"/>
    <mergeCell ref="E65:K65"/>
    <mergeCell ref="E59:K59"/>
    <mergeCell ref="E60:K60"/>
    <mergeCell ref="E61:K61"/>
    <mergeCell ref="E62:K62"/>
    <mergeCell ref="E66:K66"/>
    <mergeCell ref="E67:K67"/>
    <mergeCell ref="E68:K68"/>
    <mergeCell ref="E69:K69"/>
    <mergeCell ref="E38:K38"/>
    <mergeCell ref="E39:K39"/>
    <mergeCell ref="E40:K40"/>
    <mergeCell ref="E41:K41"/>
    <mergeCell ref="E42:K42"/>
    <mergeCell ref="E50:K50"/>
    <mergeCell ref="E51:K51"/>
    <mergeCell ref="C11:E11"/>
    <mergeCell ref="C9:E9"/>
    <mergeCell ref="C10:E10"/>
    <mergeCell ref="E33:K33"/>
    <mergeCell ref="C13:E13"/>
    <mergeCell ref="C14:E14"/>
    <mergeCell ref="C15:E15"/>
    <mergeCell ref="C18:E18"/>
    <mergeCell ref="C19:E19"/>
    <mergeCell ref="C20:E20"/>
    <mergeCell ref="C21:E21"/>
    <mergeCell ref="B29:E29"/>
    <mergeCell ref="E30:K30"/>
    <mergeCell ref="E31:K31"/>
    <mergeCell ref="E32:K32"/>
    <mergeCell ref="B24:B27"/>
    <mergeCell ref="C27:E27"/>
    <mergeCell ref="K4:M4"/>
    <mergeCell ref="K5:M5"/>
    <mergeCell ref="K6:M6"/>
    <mergeCell ref="E57:K57"/>
    <mergeCell ref="E49:K49"/>
    <mergeCell ref="E53:H53"/>
    <mergeCell ref="J53:K53"/>
    <mergeCell ref="E54:H54"/>
    <mergeCell ref="J54:K54"/>
    <mergeCell ref="E56:K56"/>
    <mergeCell ref="E52:K52"/>
    <mergeCell ref="E55:H55"/>
    <mergeCell ref="J55:K55"/>
    <mergeCell ref="E44:K44"/>
    <mergeCell ref="E45:K45"/>
    <mergeCell ref="E47:G47"/>
    <mergeCell ref="H47:K47"/>
    <mergeCell ref="E48:G48"/>
    <mergeCell ref="H48:K48"/>
    <mergeCell ref="E46:K46"/>
    <mergeCell ref="E43:K43"/>
    <mergeCell ref="E34:G34"/>
    <mergeCell ref="H34:K34"/>
    <mergeCell ref="E35:G35"/>
    <mergeCell ref="D109:J109"/>
    <mergeCell ref="E98:K98"/>
    <mergeCell ref="E99:K99"/>
    <mergeCell ref="E100:K100"/>
    <mergeCell ref="D105:M106"/>
    <mergeCell ref="D103:M104"/>
    <mergeCell ref="D101:M102"/>
    <mergeCell ref="L109:M109"/>
    <mergeCell ref="E71:K71"/>
    <mergeCell ref="E72:K72"/>
    <mergeCell ref="E73:K73"/>
    <mergeCell ref="E82:K82"/>
    <mergeCell ref="E88:K88"/>
    <mergeCell ref="E89:K89"/>
    <mergeCell ref="E74:K74"/>
    <mergeCell ref="E83:K83"/>
    <mergeCell ref="E75:K75"/>
    <mergeCell ref="E76:K76"/>
    <mergeCell ref="E77:K77"/>
    <mergeCell ref="E78:K78"/>
    <mergeCell ref="E79:K79"/>
    <mergeCell ref="K7:M7"/>
    <mergeCell ref="C24:E24"/>
    <mergeCell ref="I24:K24"/>
    <mergeCell ref="C25:E25"/>
    <mergeCell ref="I25:K25"/>
    <mergeCell ref="C26:E26"/>
    <mergeCell ref="I26:K26"/>
    <mergeCell ref="E97:G97"/>
    <mergeCell ref="E84:K84"/>
    <mergeCell ref="E85:K85"/>
    <mergeCell ref="E86:K86"/>
    <mergeCell ref="E87:K87"/>
    <mergeCell ref="E90:K90"/>
    <mergeCell ref="E92:K92"/>
    <mergeCell ref="E93:K93"/>
    <mergeCell ref="E95:K95"/>
    <mergeCell ref="E96:H96"/>
    <mergeCell ref="I96:K96"/>
    <mergeCell ref="E94:K94"/>
    <mergeCell ref="E91:K91"/>
    <mergeCell ref="H35:K35"/>
    <mergeCell ref="E36:K36"/>
    <mergeCell ref="E37:G37"/>
    <mergeCell ref="H37:K37"/>
  </mergeCells>
  <conditionalFormatting sqref="J21:K22">
    <cfRule type="expression" dxfId="938" priority="939">
      <formula>$N$21=10</formula>
    </cfRule>
  </conditionalFormatting>
  <conditionalFormatting sqref="I21:I22 I28">
    <cfRule type="expression" dxfId="937" priority="940">
      <formula>$N$21=10</formula>
    </cfRule>
  </conditionalFormatting>
  <conditionalFormatting sqref="C9:E9">
    <cfRule type="cellIs" dxfId="936" priority="924" operator="equal">
      <formula>""</formula>
    </cfRule>
  </conditionalFormatting>
  <conditionalFormatting sqref="C10:E10">
    <cfRule type="cellIs" dxfId="935" priority="923" operator="equal">
      <formula>""</formula>
    </cfRule>
  </conditionalFormatting>
  <conditionalFormatting sqref="C11:E11">
    <cfRule type="cellIs" dxfId="934" priority="922" operator="equal">
      <formula>""</formula>
    </cfRule>
  </conditionalFormatting>
  <conditionalFormatting sqref="C13:E13">
    <cfRule type="cellIs" dxfId="933" priority="921" operator="equal">
      <formula>""</formula>
    </cfRule>
  </conditionalFormatting>
  <conditionalFormatting sqref="C14:E14">
    <cfRule type="cellIs" dxfId="932" priority="920" operator="equal">
      <formula>""</formula>
    </cfRule>
  </conditionalFormatting>
  <conditionalFormatting sqref="C15:E15">
    <cfRule type="cellIs" dxfId="931" priority="919" operator="equal">
      <formula>""</formula>
    </cfRule>
  </conditionalFormatting>
  <conditionalFormatting sqref="C18:E18">
    <cfRule type="cellIs" dxfId="930" priority="918" operator="equal">
      <formula>""</formula>
    </cfRule>
  </conditionalFormatting>
  <conditionalFormatting sqref="C19:E19">
    <cfRule type="cellIs" dxfId="929" priority="917" operator="equal">
      <formula>""</formula>
    </cfRule>
  </conditionalFormatting>
  <conditionalFormatting sqref="C20:E20">
    <cfRule type="cellIs" dxfId="928" priority="916" operator="equal">
      <formula>""</formula>
    </cfRule>
  </conditionalFormatting>
  <conditionalFormatting sqref="C21:E21">
    <cfRule type="cellIs" dxfId="927" priority="915" operator="equal">
      <formula>""</formula>
    </cfRule>
  </conditionalFormatting>
  <conditionalFormatting sqref="A31">
    <cfRule type="cellIs" dxfId="926" priority="911" operator="equal">
      <formula>""</formula>
    </cfRule>
  </conditionalFormatting>
  <conditionalFormatting sqref="A32">
    <cfRule type="cellIs" dxfId="925" priority="910" operator="equal">
      <formula>""</formula>
    </cfRule>
  </conditionalFormatting>
  <conditionalFormatting sqref="A33">
    <cfRule type="cellIs" dxfId="924" priority="909" operator="equal">
      <formula>""</formula>
    </cfRule>
  </conditionalFormatting>
  <conditionalFormatting sqref="A34">
    <cfRule type="cellIs" dxfId="923" priority="908" operator="equal">
      <formula>""</formula>
    </cfRule>
  </conditionalFormatting>
  <conditionalFormatting sqref="A35">
    <cfRule type="cellIs" dxfId="922" priority="907" operator="equal">
      <formula>""</formula>
    </cfRule>
  </conditionalFormatting>
  <conditionalFormatting sqref="A36">
    <cfRule type="cellIs" dxfId="921" priority="906" operator="equal">
      <formula>""</formula>
    </cfRule>
  </conditionalFormatting>
  <conditionalFormatting sqref="A37">
    <cfRule type="cellIs" dxfId="920" priority="905" operator="equal">
      <formula>""</formula>
    </cfRule>
  </conditionalFormatting>
  <conditionalFormatting sqref="A38">
    <cfRule type="cellIs" dxfId="919" priority="904" operator="equal">
      <formula>""</formula>
    </cfRule>
  </conditionalFormatting>
  <conditionalFormatting sqref="A39">
    <cfRule type="cellIs" dxfId="918" priority="903" operator="equal">
      <formula>""</formula>
    </cfRule>
  </conditionalFormatting>
  <conditionalFormatting sqref="A40">
    <cfRule type="cellIs" dxfId="917" priority="902" operator="equal">
      <formula>""</formula>
    </cfRule>
  </conditionalFormatting>
  <conditionalFormatting sqref="A41">
    <cfRule type="cellIs" dxfId="916" priority="901" operator="equal">
      <formula>""</formula>
    </cfRule>
  </conditionalFormatting>
  <conditionalFormatting sqref="A42">
    <cfRule type="cellIs" dxfId="915" priority="900" operator="equal">
      <formula>""</formula>
    </cfRule>
  </conditionalFormatting>
  <conditionalFormatting sqref="A43">
    <cfRule type="cellIs" dxfId="914" priority="899" operator="equal">
      <formula>""</formula>
    </cfRule>
  </conditionalFormatting>
  <conditionalFormatting sqref="A44">
    <cfRule type="cellIs" dxfId="913" priority="898" operator="equal">
      <formula>""</formula>
    </cfRule>
  </conditionalFormatting>
  <conditionalFormatting sqref="A45">
    <cfRule type="cellIs" dxfId="912" priority="897" operator="equal">
      <formula>""</formula>
    </cfRule>
  </conditionalFormatting>
  <conditionalFormatting sqref="A49:A51">
    <cfRule type="cellIs" dxfId="911" priority="894" operator="equal">
      <formula>""</formula>
    </cfRule>
  </conditionalFormatting>
  <conditionalFormatting sqref="A56">
    <cfRule type="cellIs" dxfId="910" priority="888" operator="equal">
      <formula>""</formula>
    </cfRule>
  </conditionalFormatting>
  <conditionalFormatting sqref="A62">
    <cfRule type="cellIs" dxfId="909" priority="883" operator="equal">
      <formula>""</formula>
    </cfRule>
  </conditionalFormatting>
  <conditionalFormatting sqref="A59">
    <cfRule type="cellIs" dxfId="908" priority="886" operator="equal">
      <formula>""</formula>
    </cfRule>
  </conditionalFormatting>
  <conditionalFormatting sqref="A60">
    <cfRule type="cellIs" dxfId="907" priority="885" operator="equal">
      <formula>""</formula>
    </cfRule>
  </conditionalFormatting>
  <conditionalFormatting sqref="A61">
    <cfRule type="cellIs" dxfId="906" priority="884" operator="equal">
      <formula>""</formula>
    </cfRule>
  </conditionalFormatting>
  <conditionalFormatting sqref="A76">
    <cfRule type="cellIs" dxfId="905" priority="873" operator="equal">
      <formula>""</formula>
    </cfRule>
  </conditionalFormatting>
  <conditionalFormatting sqref="A77">
    <cfRule type="cellIs" dxfId="904" priority="872" operator="equal">
      <formula>""</formula>
    </cfRule>
  </conditionalFormatting>
  <conditionalFormatting sqref="A67">
    <cfRule type="cellIs" dxfId="903" priority="881" operator="equal">
      <formula>""</formula>
    </cfRule>
  </conditionalFormatting>
  <conditionalFormatting sqref="A68">
    <cfRule type="cellIs" dxfId="902" priority="880" operator="equal">
      <formula>""</formula>
    </cfRule>
  </conditionalFormatting>
  <conditionalFormatting sqref="A71">
    <cfRule type="cellIs" dxfId="901" priority="879" operator="equal">
      <formula>""</formula>
    </cfRule>
  </conditionalFormatting>
  <conditionalFormatting sqref="A69">
    <cfRule type="cellIs" dxfId="900" priority="878" operator="equal">
      <formula>""</formula>
    </cfRule>
  </conditionalFormatting>
  <conditionalFormatting sqref="A72">
    <cfRule type="cellIs" dxfId="899" priority="877" operator="equal">
      <formula>""</formula>
    </cfRule>
  </conditionalFormatting>
  <conditionalFormatting sqref="A73">
    <cfRule type="cellIs" dxfId="898" priority="876" operator="equal">
      <formula>""</formula>
    </cfRule>
  </conditionalFormatting>
  <conditionalFormatting sqref="A74">
    <cfRule type="cellIs" dxfId="897" priority="875" operator="equal">
      <formula>""</formula>
    </cfRule>
  </conditionalFormatting>
  <conditionalFormatting sqref="A75">
    <cfRule type="cellIs" dxfId="896" priority="874" operator="equal">
      <formula>""</formula>
    </cfRule>
  </conditionalFormatting>
  <conditionalFormatting sqref="A78">
    <cfRule type="cellIs" dxfId="895" priority="868" operator="equal">
      <formula>""</formula>
    </cfRule>
  </conditionalFormatting>
  <conditionalFormatting sqref="A79">
    <cfRule type="cellIs" dxfId="894" priority="867" operator="equal">
      <formula>""</formula>
    </cfRule>
  </conditionalFormatting>
  <conditionalFormatting sqref="A81">
    <cfRule type="cellIs" dxfId="893" priority="866" operator="equal">
      <formula>""</formula>
    </cfRule>
  </conditionalFormatting>
  <conditionalFormatting sqref="A80">
    <cfRule type="cellIs" dxfId="892" priority="865" operator="equal">
      <formula>""</formula>
    </cfRule>
  </conditionalFormatting>
  <conditionalFormatting sqref="A82">
    <cfRule type="cellIs" dxfId="891" priority="864" operator="equal">
      <formula>""</formula>
    </cfRule>
  </conditionalFormatting>
  <conditionalFormatting sqref="A84">
    <cfRule type="cellIs" dxfId="890" priority="863" operator="equal">
      <formula>""</formula>
    </cfRule>
  </conditionalFormatting>
  <conditionalFormatting sqref="A83">
    <cfRule type="cellIs" dxfId="889" priority="862" operator="equal">
      <formula>""</formula>
    </cfRule>
  </conditionalFormatting>
  <conditionalFormatting sqref="A85">
    <cfRule type="cellIs" dxfId="888" priority="861" operator="equal">
      <formula>""</formula>
    </cfRule>
  </conditionalFormatting>
  <conditionalFormatting sqref="A86">
    <cfRule type="cellIs" dxfId="887" priority="860" operator="equal">
      <formula>""</formula>
    </cfRule>
  </conditionalFormatting>
  <conditionalFormatting sqref="A87">
    <cfRule type="cellIs" dxfId="886" priority="859" operator="equal">
      <formula>""</formula>
    </cfRule>
  </conditionalFormatting>
  <conditionalFormatting sqref="A88">
    <cfRule type="cellIs" dxfId="885" priority="858" operator="equal">
      <formula>""</formula>
    </cfRule>
  </conditionalFormatting>
  <conditionalFormatting sqref="A89">
    <cfRule type="cellIs" dxfId="884" priority="857" operator="equal">
      <formula>""</formula>
    </cfRule>
  </conditionalFormatting>
  <conditionalFormatting sqref="A90">
    <cfRule type="cellIs" dxfId="883" priority="856" operator="equal">
      <formula>""</formula>
    </cfRule>
  </conditionalFormatting>
  <conditionalFormatting sqref="A92">
    <cfRule type="cellIs" dxfId="882" priority="855" operator="equal">
      <formula>""</formula>
    </cfRule>
  </conditionalFormatting>
  <conditionalFormatting sqref="A93">
    <cfRule type="cellIs" dxfId="881" priority="854" operator="equal">
      <formula>""</formula>
    </cfRule>
  </conditionalFormatting>
  <conditionalFormatting sqref="A96">
    <cfRule type="cellIs" dxfId="880" priority="853" operator="equal">
      <formula>""</formula>
    </cfRule>
  </conditionalFormatting>
  <conditionalFormatting sqref="A97">
    <cfRule type="cellIs" dxfId="879" priority="852" operator="equal">
      <formula>""</formula>
    </cfRule>
  </conditionalFormatting>
  <conditionalFormatting sqref="A98">
    <cfRule type="cellIs" dxfId="878" priority="848" operator="equal">
      <formula>""</formula>
    </cfRule>
  </conditionalFormatting>
  <conditionalFormatting sqref="A99">
    <cfRule type="cellIs" dxfId="877" priority="847" operator="equal">
      <formula>""</formula>
    </cfRule>
  </conditionalFormatting>
  <conditionalFormatting sqref="A100">
    <cfRule type="cellIs" dxfId="876" priority="846" operator="equal">
      <formula>""</formula>
    </cfRule>
  </conditionalFormatting>
  <conditionalFormatting sqref="B99">
    <cfRule type="cellIs" dxfId="875" priority="845" operator="equal">
      <formula>""</formula>
    </cfRule>
  </conditionalFormatting>
  <conditionalFormatting sqref="B98">
    <cfRule type="cellIs" dxfId="874" priority="844" operator="equal">
      <formula>""</formula>
    </cfRule>
  </conditionalFormatting>
  <conditionalFormatting sqref="B100">
    <cfRule type="cellIs" dxfId="873" priority="843" operator="equal">
      <formula>""</formula>
    </cfRule>
  </conditionalFormatting>
  <conditionalFormatting sqref="C100">
    <cfRule type="cellIs" dxfId="872" priority="842" operator="equal">
      <formula>""</formula>
    </cfRule>
  </conditionalFormatting>
  <conditionalFormatting sqref="C99">
    <cfRule type="cellIs" dxfId="871" priority="841" operator="equal">
      <formula>""</formula>
    </cfRule>
  </conditionalFormatting>
  <conditionalFormatting sqref="C98">
    <cfRule type="cellIs" dxfId="870" priority="840" operator="equal">
      <formula>""</formula>
    </cfRule>
  </conditionalFormatting>
  <conditionalFormatting sqref="E98">
    <cfRule type="cellIs" dxfId="869" priority="839" operator="equal">
      <formula>""</formula>
    </cfRule>
  </conditionalFormatting>
  <conditionalFormatting sqref="E99">
    <cfRule type="cellIs" dxfId="868" priority="838" operator="equal">
      <formula>""</formula>
    </cfRule>
  </conditionalFormatting>
  <conditionalFormatting sqref="E100">
    <cfRule type="cellIs" dxfId="867" priority="837" operator="equal">
      <formula>""</formula>
    </cfRule>
  </conditionalFormatting>
  <conditionalFormatting sqref="L100">
    <cfRule type="cellIs" dxfId="866" priority="836" operator="equal">
      <formula>""</formula>
    </cfRule>
  </conditionalFormatting>
  <conditionalFormatting sqref="L99">
    <cfRule type="cellIs" dxfId="865" priority="835" operator="equal">
      <formula>""</formula>
    </cfRule>
  </conditionalFormatting>
  <conditionalFormatting sqref="L98">
    <cfRule type="cellIs" dxfId="864" priority="834" operator="equal">
      <formula>""</formula>
    </cfRule>
  </conditionalFormatting>
  <conditionalFormatting sqref="M98">
    <cfRule type="cellIs" dxfId="863" priority="833" operator="equal">
      <formula>""</formula>
    </cfRule>
  </conditionalFormatting>
  <conditionalFormatting sqref="M99">
    <cfRule type="cellIs" dxfId="862" priority="832" operator="equal">
      <formula>""</formula>
    </cfRule>
  </conditionalFormatting>
  <conditionalFormatting sqref="M100">
    <cfRule type="cellIs" dxfId="861" priority="831" operator="equal">
      <formula>""</formula>
    </cfRule>
  </conditionalFormatting>
  <conditionalFormatting sqref="D100">
    <cfRule type="cellIs" dxfId="860" priority="791" operator="equal">
      <formula>""</formula>
    </cfRule>
  </conditionalFormatting>
  <conditionalFormatting sqref="D99">
    <cfRule type="cellIs" dxfId="859" priority="790" operator="equal">
      <formula>""</formula>
    </cfRule>
  </conditionalFormatting>
  <conditionalFormatting sqref="D98">
    <cfRule type="cellIs" dxfId="858" priority="789" operator="equal">
      <formula>""</formula>
    </cfRule>
  </conditionalFormatting>
  <conditionalFormatting sqref="T32:AB32">
    <cfRule type="duplicateValues" dxfId="857" priority="1893"/>
  </conditionalFormatting>
  <conditionalFormatting sqref="T31:AB31">
    <cfRule type="duplicateValues" dxfId="856" priority="1894"/>
  </conditionalFormatting>
  <conditionalFormatting sqref="D67">
    <cfRule type="duplicateValues" dxfId="855" priority="780"/>
  </conditionalFormatting>
  <conditionalFormatting sqref="D75">
    <cfRule type="duplicateValues" dxfId="854" priority="545"/>
  </conditionalFormatting>
  <conditionalFormatting sqref="I13">
    <cfRule type="expression" dxfId="853" priority="496">
      <formula>$N$13=2</formula>
    </cfRule>
    <cfRule type="expression" dxfId="852" priority="499">
      <formula>$N$13=1</formula>
    </cfRule>
  </conditionalFormatting>
  <conditionalFormatting sqref="L13">
    <cfRule type="expression" dxfId="851" priority="497">
      <formula>$N$13=1</formula>
    </cfRule>
    <cfRule type="expression" dxfId="850" priority="498">
      <formula>$N$13=2</formula>
    </cfRule>
  </conditionalFormatting>
  <conditionalFormatting sqref="A46">
    <cfRule type="cellIs" dxfId="849" priority="488" operator="equal">
      <formula>""</formula>
    </cfRule>
  </conditionalFormatting>
  <conditionalFormatting sqref="A48">
    <cfRule type="cellIs" dxfId="848" priority="487" operator="equal">
      <formula>""</formula>
    </cfRule>
  </conditionalFormatting>
  <conditionalFormatting sqref="A47">
    <cfRule type="cellIs" dxfId="847" priority="486" operator="equal">
      <formula>""</formula>
    </cfRule>
  </conditionalFormatting>
  <conditionalFormatting sqref="A52">
    <cfRule type="cellIs" dxfId="846" priority="455" operator="equal">
      <formula>""</formula>
    </cfRule>
  </conditionalFormatting>
  <conditionalFormatting sqref="A53">
    <cfRule type="cellIs" dxfId="845" priority="454" operator="equal">
      <formula>""</formula>
    </cfRule>
  </conditionalFormatting>
  <conditionalFormatting sqref="A54">
    <cfRule type="cellIs" dxfId="844" priority="453" operator="equal">
      <formula>""</formula>
    </cfRule>
  </conditionalFormatting>
  <conditionalFormatting sqref="A55">
    <cfRule type="cellIs" dxfId="843" priority="372" operator="equal">
      <formula>""</formula>
    </cfRule>
  </conditionalFormatting>
  <conditionalFormatting sqref="A58">
    <cfRule type="cellIs" dxfId="842" priority="371" operator="equal">
      <formula>""</formula>
    </cfRule>
  </conditionalFormatting>
  <conditionalFormatting sqref="A57">
    <cfRule type="cellIs" dxfId="841" priority="369" operator="equal">
      <formula>""</formula>
    </cfRule>
  </conditionalFormatting>
  <conditionalFormatting sqref="A64">
    <cfRule type="cellIs" dxfId="840" priority="367" operator="equal">
      <formula>""</formula>
    </cfRule>
  </conditionalFormatting>
  <conditionalFormatting sqref="A66">
    <cfRule type="cellIs" dxfId="839" priority="366" operator="equal">
      <formula>""</formula>
    </cfRule>
  </conditionalFormatting>
  <conditionalFormatting sqref="D66">
    <cfRule type="duplicateValues" dxfId="838" priority="363"/>
  </conditionalFormatting>
  <conditionalFormatting sqref="A63">
    <cfRule type="cellIs" dxfId="837" priority="362" operator="equal">
      <formula>""</formula>
    </cfRule>
  </conditionalFormatting>
  <conditionalFormatting sqref="A65">
    <cfRule type="cellIs" dxfId="836" priority="359" operator="equal">
      <formula>""</formula>
    </cfRule>
  </conditionalFormatting>
  <conditionalFormatting sqref="D65">
    <cfRule type="duplicateValues" dxfId="835" priority="358"/>
  </conditionalFormatting>
  <conditionalFormatting sqref="A95">
    <cfRule type="cellIs" dxfId="834" priority="357" operator="equal">
      <formula>""</formula>
    </cfRule>
  </conditionalFormatting>
  <conditionalFormatting sqref="A94">
    <cfRule type="cellIs" dxfId="833" priority="356" operator="equal">
      <formula>""</formula>
    </cfRule>
  </conditionalFormatting>
  <conditionalFormatting sqref="A70">
    <cfRule type="cellIs" dxfId="832" priority="355" operator="equal">
      <formula>""</formula>
    </cfRule>
  </conditionalFormatting>
  <conditionalFormatting sqref="T68:AB68">
    <cfRule type="duplicateValues" dxfId="831" priority="289"/>
  </conditionalFormatting>
  <conditionalFormatting sqref="T96:X96">
    <cfRule type="duplicateValues" dxfId="830" priority="257"/>
  </conditionalFormatting>
  <conditionalFormatting sqref="T69:AB69">
    <cfRule type="duplicateValues" dxfId="829" priority="256"/>
  </conditionalFormatting>
  <conditionalFormatting sqref="AC69">
    <cfRule type="duplicateValues" dxfId="828" priority="255"/>
  </conditionalFormatting>
  <conditionalFormatting sqref="T91:AB91">
    <cfRule type="duplicateValues" dxfId="827" priority="254"/>
  </conditionalFormatting>
  <conditionalFormatting sqref="AC91">
    <cfRule type="duplicateValues" dxfId="826" priority="253"/>
  </conditionalFormatting>
  <conditionalFormatting sqref="T77:AB77">
    <cfRule type="duplicateValues" dxfId="825" priority="251"/>
  </conditionalFormatting>
  <conditionalFormatting sqref="A91">
    <cfRule type="cellIs" dxfId="824" priority="239" operator="equal">
      <formula>""</formula>
    </cfRule>
  </conditionalFormatting>
  <conditionalFormatting sqref="C24:E24">
    <cfRule type="cellIs" dxfId="823" priority="234" operator="equal">
      <formula>""</formula>
    </cfRule>
  </conditionalFormatting>
  <conditionalFormatting sqref="C25:E25">
    <cfRule type="cellIs" dxfId="822" priority="233" operator="equal">
      <formula>""</formula>
    </cfRule>
  </conditionalFormatting>
  <conditionalFormatting sqref="C26:E26">
    <cfRule type="cellIs" dxfId="821" priority="232" operator="equal">
      <formula>""</formula>
    </cfRule>
  </conditionalFormatting>
  <conditionalFormatting sqref="C27:E27">
    <cfRule type="cellIs" dxfId="820" priority="231" operator="equal">
      <formula>""</formula>
    </cfRule>
  </conditionalFormatting>
  <conditionalFormatting sqref="I26:K26 I24:I25">
    <cfRule type="cellIs" dxfId="819" priority="230" operator="equal">
      <formula>""</formula>
    </cfRule>
  </conditionalFormatting>
  <conditionalFormatting sqref="K4">
    <cfRule type="cellIs" dxfId="818" priority="228" operator="equal">
      <formula>""</formula>
    </cfRule>
  </conditionalFormatting>
  <conditionalFormatting sqref="K5">
    <cfRule type="cellIs" dxfId="817" priority="227" operator="equal">
      <formula>""</formula>
    </cfRule>
  </conditionalFormatting>
  <conditionalFormatting sqref="K6">
    <cfRule type="cellIs" dxfId="816" priority="226" operator="equal">
      <formula>""</formula>
    </cfRule>
  </conditionalFormatting>
  <conditionalFormatting sqref="K7">
    <cfRule type="cellIs" dxfId="815" priority="225" operator="equal">
      <formula>""</formula>
    </cfRule>
  </conditionalFormatting>
  <conditionalFormatting sqref="Y36:AC36 T36:W36">
    <cfRule type="duplicateValues" dxfId="814" priority="218"/>
  </conditionalFormatting>
  <conditionalFormatting sqref="T39:AB39 AD39:AL39">
    <cfRule type="duplicateValues" dxfId="813" priority="219"/>
  </conditionalFormatting>
  <conditionalFormatting sqref="AC39">
    <cfRule type="duplicateValues" dxfId="812" priority="217"/>
  </conditionalFormatting>
  <conditionalFormatting sqref="AD40:AL40 T40:AB40">
    <cfRule type="duplicateValues" dxfId="811" priority="220"/>
  </conditionalFormatting>
  <conditionalFormatting sqref="T41:AL41">
    <cfRule type="duplicateValues" dxfId="810" priority="221"/>
  </conditionalFormatting>
  <conditionalFormatting sqref="T42:AM42">
    <cfRule type="duplicateValues" dxfId="809" priority="222"/>
  </conditionalFormatting>
  <conditionalFormatting sqref="AD44:AM44">
    <cfRule type="duplicateValues" dxfId="808" priority="216"/>
  </conditionalFormatting>
  <conditionalFormatting sqref="T44:AC44">
    <cfRule type="duplicateValues" dxfId="807" priority="223"/>
  </conditionalFormatting>
  <conditionalFormatting sqref="AD45:AL45">
    <cfRule type="duplicateValues" dxfId="806" priority="215"/>
  </conditionalFormatting>
  <conditionalFormatting sqref="AC45">
    <cfRule type="duplicateValues" dxfId="805" priority="214"/>
  </conditionalFormatting>
  <conditionalFormatting sqref="AM45">
    <cfRule type="duplicateValues" dxfId="804" priority="213"/>
  </conditionalFormatting>
  <conditionalFormatting sqref="T45:AB45">
    <cfRule type="duplicateValues" dxfId="803" priority="224"/>
  </conditionalFormatting>
  <conditionalFormatting sqref="T47">
    <cfRule type="duplicateValues" dxfId="802" priority="212"/>
  </conditionalFormatting>
  <conditionalFormatting sqref="Y47">
    <cfRule type="duplicateValues" dxfId="801" priority="211"/>
  </conditionalFormatting>
  <conditionalFormatting sqref="V47">
    <cfRule type="duplicateValues" dxfId="800" priority="210"/>
  </conditionalFormatting>
  <conditionalFormatting sqref="U47">
    <cfRule type="duplicateValues" dxfId="799" priority="209"/>
  </conditionalFormatting>
  <conditionalFormatting sqref="AA47">
    <cfRule type="duplicateValues" dxfId="798" priority="208"/>
  </conditionalFormatting>
  <conditionalFormatting sqref="Z47">
    <cfRule type="duplicateValues" dxfId="797" priority="207"/>
  </conditionalFormatting>
  <conditionalFormatting sqref="W47">
    <cfRule type="duplicateValues" dxfId="796" priority="206"/>
  </conditionalFormatting>
  <conditionalFormatting sqref="T48">
    <cfRule type="duplicateValues" dxfId="795" priority="205"/>
  </conditionalFormatting>
  <conditionalFormatting sqref="W48">
    <cfRule type="duplicateValues" dxfId="794" priority="204"/>
  </conditionalFormatting>
  <conditionalFormatting sqref="V48">
    <cfRule type="duplicateValues" dxfId="793" priority="203"/>
  </conditionalFormatting>
  <conditionalFormatting sqref="U48">
    <cfRule type="duplicateValues" dxfId="792" priority="202"/>
  </conditionalFormatting>
  <conditionalFormatting sqref="Y48">
    <cfRule type="duplicateValues" dxfId="791" priority="201"/>
  </conditionalFormatting>
  <conditionalFormatting sqref="AA48">
    <cfRule type="duplicateValues" dxfId="790" priority="200"/>
  </conditionalFormatting>
  <conditionalFormatting sqref="Z48">
    <cfRule type="duplicateValues" dxfId="789" priority="199"/>
  </conditionalFormatting>
  <conditionalFormatting sqref="T49:T51">
    <cfRule type="duplicateValues" dxfId="788" priority="198"/>
  </conditionalFormatting>
  <conditionalFormatting sqref="U49:U51">
    <cfRule type="duplicateValues" dxfId="787" priority="197"/>
  </conditionalFormatting>
  <conditionalFormatting sqref="V49:V51">
    <cfRule type="duplicateValues" dxfId="786" priority="196"/>
  </conditionalFormatting>
  <conditionalFormatting sqref="W49:W51">
    <cfRule type="duplicateValues" dxfId="785" priority="195"/>
  </conditionalFormatting>
  <conditionalFormatting sqref="X49:X51">
    <cfRule type="duplicateValues" dxfId="784" priority="194"/>
  </conditionalFormatting>
  <conditionalFormatting sqref="Y49:Y51">
    <cfRule type="duplicateValues" dxfId="783" priority="193"/>
  </conditionalFormatting>
  <conditionalFormatting sqref="Z49:Z51">
    <cfRule type="duplicateValues" dxfId="782" priority="192"/>
  </conditionalFormatting>
  <conditionalFormatting sqref="AA49:AA51">
    <cfRule type="duplicateValues" dxfId="781" priority="191"/>
  </conditionalFormatting>
  <conditionalFormatting sqref="AB49:AB51">
    <cfRule type="duplicateValues" dxfId="780" priority="190"/>
  </conditionalFormatting>
  <conditionalFormatting sqref="T43:AC43">
    <cfRule type="duplicateValues" dxfId="779" priority="189"/>
  </conditionalFormatting>
  <conditionalFormatting sqref="AM43">
    <cfRule type="duplicateValues" dxfId="778" priority="188"/>
  </conditionalFormatting>
  <conditionalFormatting sqref="AD43:AL43">
    <cfRule type="duplicateValues" dxfId="777" priority="187"/>
  </conditionalFormatting>
  <conditionalFormatting sqref="T46">
    <cfRule type="duplicateValues" dxfId="776" priority="186"/>
  </conditionalFormatting>
  <conditionalFormatting sqref="Y46">
    <cfRule type="duplicateValues" dxfId="775" priority="185"/>
  </conditionalFormatting>
  <conditionalFormatting sqref="V46">
    <cfRule type="duplicateValues" dxfId="774" priority="184"/>
  </conditionalFormatting>
  <conditionalFormatting sqref="U46">
    <cfRule type="duplicateValues" dxfId="773" priority="183"/>
  </conditionalFormatting>
  <conditionalFormatting sqref="AA46">
    <cfRule type="duplicateValues" dxfId="772" priority="182"/>
  </conditionalFormatting>
  <conditionalFormatting sqref="Z46">
    <cfRule type="duplicateValues" dxfId="771" priority="181"/>
  </conditionalFormatting>
  <conditionalFormatting sqref="W46">
    <cfRule type="duplicateValues" dxfId="770" priority="180"/>
  </conditionalFormatting>
  <conditionalFormatting sqref="X46">
    <cfRule type="duplicateValues" dxfId="769" priority="179"/>
  </conditionalFormatting>
  <conditionalFormatting sqref="AB46">
    <cfRule type="duplicateValues" dxfId="768" priority="178"/>
  </conditionalFormatting>
  <conditionalFormatting sqref="AB47">
    <cfRule type="duplicateValues" dxfId="767" priority="177"/>
  </conditionalFormatting>
  <conditionalFormatting sqref="AB48">
    <cfRule type="duplicateValues" dxfId="766" priority="176"/>
  </conditionalFormatting>
  <conditionalFormatting sqref="AC49:AC51">
    <cfRule type="duplicateValues" dxfId="765" priority="175"/>
  </conditionalFormatting>
  <conditionalFormatting sqref="AC47">
    <cfRule type="duplicateValues" dxfId="764" priority="174"/>
  </conditionalFormatting>
  <conditionalFormatting sqref="AC48">
    <cfRule type="duplicateValues" dxfId="763" priority="173"/>
  </conditionalFormatting>
  <conditionalFormatting sqref="AC46">
    <cfRule type="duplicateValues" dxfId="762" priority="172"/>
  </conditionalFormatting>
  <conditionalFormatting sqref="AD53:AM53">
    <cfRule type="duplicateValues" dxfId="761" priority="168"/>
  </conditionalFormatting>
  <conditionalFormatting sqref="T53:AB53">
    <cfRule type="duplicateValues" dxfId="760" priority="169"/>
  </conditionalFormatting>
  <conditionalFormatting sqref="AY53:BG53">
    <cfRule type="duplicateValues" dxfId="759" priority="166"/>
  </conditionalFormatting>
  <conditionalFormatting sqref="AO53:AW53">
    <cfRule type="duplicateValues" dxfId="758" priority="167"/>
  </conditionalFormatting>
  <conditionalFormatting sqref="BT53:CC53">
    <cfRule type="duplicateValues" dxfId="757" priority="164"/>
  </conditionalFormatting>
  <conditionalFormatting sqref="BK53:BR53">
    <cfRule type="duplicateValues" dxfId="756" priority="165"/>
  </conditionalFormatting>
  <conditionalFormatting sqref="CF53:CM53">
    <cfRule type="duplicateValues" dxfId="755" priority="170"/>
  </conditionalFormatting>
  <conditionalFormatting sqref="CO53:CW53">
    <cfRule type="duplicateValues" dxfId="754" priority="171"/>
  </conditionalFormatting>
  <conditionalFormatting sqref="DA53:DH53">
    <cfRule type="duplicateValues" dxfId="753" priority="162"/>
  </conditionalFormatting>
  <conditionalFormatting sqref="DJ53:DR53">
    <cfRule type="duplicateValues" dxfId="752" priority="163"/>
  </conditionalFormatting>
  <conditionalFormatting sqref="DV53:EC53">
    <cfRule type="duplicateValues" dxfId="751" priority="161"/>
  </conditionalFormatting>
  <conditionalFormatting sqref="EQ53:EX53">
    <cfRule type="duplicateValues" dxfId="750" priority="160"/>
  </conditionalFormatting>
  <conditionalFormatting sqref="EZ53:FH53">
    <cfRule type="duplicateValues" dxfId="749" priority="159"/>
  </conditionalFormatting>
  <conditionalFormatting sqref="FL53:FS53">
    <cfRule type="duplicateValues" dxfId="748" priority="158"/>
  </conditionalFormatting>
  <conditionalFormatting sqref="FU53:GC53">
    <cfRule type="duplicateValues" dxfId="747" priority="157"/>
  </conditionalFormatting>
  <conditionalFormatting sqref="GG53:GN53">
    <cfRule type="duplicateValues" dxfId="746" priority="156"/>
  </conditionalFormatting>
  <conditionalFormatting sqref="GP53:GX53">
    <cfRule type="duplicateValues" dxfId="745" priority="155"/>
  </conditionalFormatting>
  <conditionalFormatting sqref="HB53:HI53">
    <cfRule type="duplicateValues" dxfId="744" priority="154"/>
  </conditionalFormatting>
  <conditionalFormatting sqref="HK53:HS53">
    <cfRule type="duplicateValues" dxfId="743" priority="153"/>
  </conditionalFormatting>
  <conditionalFormatting sqref="HW53:ID53">
    <cfRule type="duplicateValues" dxfId="742" priority="152"/>
  </conditionalFormatting>
  <conditionalFormatting sqref="IF53:IN53">
    <cfRule type="duplicateValues" dxfId="741" priority="151"/>
  </conditionalFormatting>
  <conditionalFormatting sqref="IR53:IY53">
    <cfRule type="duplicateValues" dxfId="740" priority="150"/>
  </conditionalFormatting>
  <conditionalFormatting sqref="JA53:JI53">
    <cfRule type="duplicateValues" dxfId="739" priority="149"/>
  </conditionalFormatting>
  <conditionalFormatting sqref="JM53:JT53">
    <cfRule type="duplicateValues" dxfId="738" priority="148"/>
  </conditionalFormatting>
  <conditionalFormatting sqref="JV53:KD53">
    <cfRule type="duplicateValues" dxfId="737" priority="147"/>
  </conditionalFormatting>
  <conditionalFormatting sqref="KH53:KO53">
    <cfRule type="duplicateValues" dxfId="736" priority="146"/>
  </conditionalFormatting>
  <conditionalFormatting sqref="KQ53:KY53">
    <cfRule type="duplicateValues" dxfId="735" priority="145"/>
  </conditionalFormatting>
  <conditionalFormatting sqref="LL53:LT53">
    <cfRule type="duplicateValues" dxfId="734" priority="144"/>
  </conditionalFormatting>
  <conditionalFormatting sqref="LC53:LJ53">
    <cfRule type="duplicateValues" dxfId="733" priority="143"/>
  </conditionalFormatting>
  <conditionalFormatting sqref="LX53:ME53">
    <cfRule type="duplicateValues" dxfId="732" priority="142"/>
  </conditionalFormatting>
  <conditionalFormatting sqref="MG53:MO53">
    <cfRule type="duplicateValues" dxfId="731" priority="141"/>
  </conditionalFormatting>
  <conditionalFormatting sqref="MS53:MZ53">
    <cfRule type="duplicateValues" dxfId="730" priority="140"/>
  </conditionalFormatting>
  <conditionalFormatting sqref="NB53:NJ53">
    <cfRule type="duplicateValues" dxfId="729" priority="139"/>
  </conditionalFormatting>
  <conditionalFormatting sqref="NN53:NU53">
    <cfRule type="duplicateValues" dxfId="728" priority="138"/>
  </conditionalFormatting>
  <conditionalFormatting sqref="NW53:OE53">
    <cfRule type="duplicateValues" dxfId="727" priority="137"/>
  </conditionalFormatting>
  <conditionalFormatting sqref="OI53:OP53">
    <cfRule type="duplicateValues" dxfId="726" priority="136"/>
  </conditionalFormatting>
  <conditionalFormatting sqref="OR53:OZ53">
    <cfRule type="duplicateValues" dxfId="725" priority="135"/>
  </conditionalFormatting>
  <conditionalFormatting sqref="PD53:PK53">
    <cfRule type="duplicateValues" dxfId="724" priority="134"/>
  </conditionalFormatting>
  <conditionalFormatting sqref="PM53:PU53">
    <cfRule type="duplicateValues" dxfId="723" priority="133"/>
  </conditionalFormatting>
  <conditionalFormatting sqref="PY53:QF53">
    <cfRule type="duplicateValues" dxfId="722" priority="132"/>
  </conditionalFormatting>
  <conditionalFormatting sqref="QH53:QQ53">
    <cfRule type="duplicateValues" dxfId="721" priority="131"/>
  </conditionalFormatting>
  <conditionalFormatting sqref="T54:AB54 AD54:AL54">
    <cfRule type="duplicateValues" dxfId="720" priority="130"/>
  </conditionalFormatting>
  <conditionalFormatting sqref="BJ53">
    <cfRule type="duplicateValues" dxfId="719" priority="129"/>
  </conditionalFormatting>
  <conditionalFormatting sqref="CE53">
    <cfRule type="duplicateValues" dxfId="718" priority="128"/>
  </conditionalFormatting>
  <conditionalFormatting sqref="CZ53">
    <cfRule type="duplicateValues" dxfId="717" priority="127"/>
  </conditionalFormatting>
  <conditionalFormatting sqref="DU53">
    <cfRule type="duplicateValues" dxfId="716" priority="126"/>
  </conditionalFormatting>
  <conditionalFormatting sqref="EP53">
    <cfRule type="duplicateValues" dxfId="715" priority="125"/>
  </conditionalFormatting>
  <conditionalFormatting sqref="FK53">
    <cfRule type="duplicateValues" dxfId="714" priority="124"/>
  </conditionalFormatting>
  <conditionalFormatting sqref="GF53">
    <cfRule type="duplicateValues" dxfId="713" priority="123"/>
  </conditionalFormatting>
  <conditionalFormatting sqref="HA53">
    <cfRule type="duplicateValues" dxfId="712" priority="122"/>
  </conditionalFormatting>
  <conditionalFormatting sqref="HV53">
    <cfRule type="duplicateValues" dxfId="711" priority="121"/>
  </conditionalFormatting>
  <conditionalFormatting sqref="IQ53">
    <cfRule type="duplicateValues" dxfId="710" priority="120"/>
  </conditionalFormatting>
  <conditionalFormatting sqref="JL53">
    <cfRule type="duplicateValues" dxfId="709" priority="119"/>
  </conditionalFormatting>
  <conditionalFormatting sqref="KG53">
    <cfRule type="duplicateValues" dxfId="708" priority="118"/>
  </conditionalFormatting>
  <conditionalFormatting sqref="LB53">
    <cfRule type="duplicateValues" dxfId="707" priority="117"/>
  </conditionalFormatting>
  <conditionalFormatting sqref="LW53">
    <cfRule type="duplicateValues" dxfId="706" priority="116"/>
  </conditionalFormatting>
  <conditionalFormatting sqref="MR53">
    <cfRule type="duplicateValues" dxfId="705" priority="115"/>
  </conditionalFormatting>
  <conditionalFormatting sqref="NM53">
    <cfRule type="duplicateValues" dxfId="704" priority="114"/>
  </conditionalFormatting>
  <conditionalFormatting sqref="OH53">
    <cfRule type="duplicateValues" dxfId="703" priority="113"/>
  </conditionalFormatting>
  <conditionalFormatting sqref="PC53">
    <cfRule type="duplicateValues" dxfId="702" priority="112"/>
  </conditionalFormatting>
  <conditionalFormatting sqref="PX53">
    <cfRule type="duplicateValues" dxfId="701" priority="111"/>
  </conditionalFormatting>
  <conditionalFormatting sqref="AO54:AW54 AY54:BG54">
    <cfRule type="duplicateValues" dxfId="700" priority="110"/>
  </conditionalFormatting>
  <conditionalFormatting sqref="BJ54:BR54 BT54:CB54">
    <cfRule type="duplicateValues" dxfId="699" priority="109"/>
  </conditionalFormatting>
  <conditionalFormatting sqref="CE54:CM54 DJ54:DR54">
    <cfRule type="duplicateValues" dxfId="698" priority="108"/>
  </conditionalFormatting>
  <conditionalFormatting sqref="DU54:EC54 EE54:EM54">
    <cfRule type="duplicateValues" dxfId="697" priority="107"/>
  </conditionalFormatting>
  <conditionalFormatting sqref="EP54:EX54 EZ54:FH54">
    <cfRule type="duplicateValues" dxfId="696" priority="106"/>
  </conditionalFormatting>
  <conditionalFormatting sqref="FK54:FS54 FU54:GC54">
    <cfRule type="duplicateValues" dxfId="695" priority="105"/>
  </conditionalFormatting>
  <conditionalFormatting sqref="T56:AC56">
    <cfRule type="duplicateValues" dxfId="694" priority="104"/>
  </conditionalFormatting>
  <conditionalFormatting sqref="T58:AC58">
    <cfRule type="duplicateValues" dxfId="693" priority="103"/>
  </conditionalFormatting>
  <conditionalFormatting sqref="T59:AC59 AC60:AC62">
    <cfRule type="duplicateValues" dxfId="692" priority="102"/>
  </conditionalFormatting>
  <conditionalFormatting sqref="T60:AB60">
    <cfRule type="duplicateValues" dxfId="691" priority="101"/>
  </conditionalFormatting>
  <conditionalFormatting sqref="AC60">
    <cfRule type="duplicateValues" dxfId="690" priority="100"/>
  </conditionalFormatting>
  <conditionalFormatting sqref="T61:AB61">
    <cfRule type="duplicateValues" dxfId="689" priority="99"/>
  </conditionalFormatting>
  <conditionalFormatting sqref="AC61">
    <cfRule type="duplicateValues" dxfId="688" priority="98"/>
  </conditionalFormatting>
  <conditionalFormatting sqref="T64:AB64">
    <cfRule type="duplicateValues" dxfId="687" priority="97"/>
  </conditionalFormatting>
  <conditionalFormatting sqref="AC64">
    <cfRule type="duplicateValues" dxfId="686" priority="96"/>
  </conditionalFormatting>
  <conditionalFormatting sqref="T57:AC57">
    <cfRule type="duplicateValues" dxfId="685" priority="95"/>
  </conditionalFormatting>
  <conditionalFormatting sqref="T62:AB62">
    <cfRule type="duplicateValues" dxfId="684" priority="94"/>
  </conditionalFormatting>
  <conditionalFormatting sqref="AC62">
    <cfRule type="duplicateValues" dxfId="683" priority="93"/>
  </conditionalFormatting>
  <conditionalFormatting sqref="T63:AB63">
    <cfRule type="duplicateValues" dxfId="682" priority="92"/>
  </conditionalFormatting>
  <conditionalFormatting sqref="AC63">
    <cfRule type="duplicateValues" dxfId="681" priority="91"/>
  </conditionalFormatting>
  <conditionalFormatting sqref="AC52">
    <cfRule type="duplicateValues" dxfId="680" priority="89"/>
  </conditionalFormatting>
  <conditionalFormatting sqref="T52:AB52">
    <cfRule type="duplicateValues" dxfId="679" priority="90"/>
  </conditionalFormatting>
  <conditionalFormatting sqref="EE53:EM53">
    <cfRule type="duplicateValues" dxfId="678" priority="88"/>
  </conditionalFormatting>
  <conditionalFormatting sqref="CO54:CW54">
    <cfRule type="duplicateValues" dxfId="677" priority="87"/>
  </conditionalFormatting>
  <conditionalFormatting sqref="T55:AB55 AD55:AM55">
    <cfRule type="duplicateValues" dxfId="676" priority="86"/>
  </conditionalFormatting>
  <conditionalFormatting sqref="AO55:AW55 AY55:BH55">
    <cfRule type="duplicateValues" dxfId="675" priority="85"/>
  </conditionalFormatting>
  <conditionalFormatting sqref="BJ55:BR55 BT55:CC55">
    <cfRule type="duplicateValues" dxfId="674" priority="84"/>
  </conditionalFormatting>
  <conditionalFormatting sqref="CE55:CM55 DJ55:DS55">
    <cfRule type="duplicateValues" dxfId="673" priority="83"/>
  </conditionalFormatting>
  <conditionalFormatting sqref="DU55:EC55 EE55:EN55">
    <cfRule type="duplicateValues" dxfId="672" priority="82"/>
  </conditionalFormatting>
  <conditionalFormatting sqref="CO55:CX55">
    <cfRule type="duplicateValues" dxfId="671" priority="81"/>
  </conditionalFormatting>
  <conditionalFormatting sqref="AM52">
    <cfRule type="duplicateValues" dxfId="670" priority="79"/>
  </conditionalFormatting>
  <conditionalFormatting sqref="AD52:AL52">
    <cfRule type="duplicateValues" dxfId="669" priority="80"/>
  </conditionalFormatting>
  <conditionalFormatting sqref="AM54">
    <cfRule type="duplicateValues" dxfId="668" priority="78"/>
  </conditionalFormatting>
  <conditionalFormatting sqref="BH53">
    <cfRule type="duplicateValues" dxfId="667" priority="77"/>
  </conditionalFormatting>
  <conditionalFormatting sqref="BH54">
    <cfRule type="duplicateValues" dxfId="666" priority="76"/>
  </conditionalFormatting>
  <conditionalFormatting sqref="CC54">
    <cfRule type="duplicateValues" dxfId="665" priority="75"/>
  </conditionalFormatting>
  <conditionalFormatting sqref="CX53">
    <cfRule type="duplicateValues" dxfId="664" priority="74"/>
  </conditionalFormatting>
  <conditionalFormatting sqref="CX54">
    <cfRule type="duplicateValues" dxfId="663" priority="73"/>
  </conditionalFormatting>
  <conditionalFormatting sqref="DS53">
    <cfRule type="duplicateValues" dxfId="662" priority="72"/>
  </conditionalFormatting>
  <conditionalFormatting sqref="DS54">
    <cfRule type="duplicateValues" dxfId="661" priority="71"/>
  </conditionalFormatting>
  <conditionalFormatting sqref="EN53">
    <cfRule type="duplicateValues" dxfId="660" priority="70"/>
  </conditionalFormatting>
  <conditionalFormatting sqref="EN54">
    <cfRule type="duplicateValues" dxfId="659" priority="69"/>
  </conditionalFormatting>
  <conditionalFormatting sqref="FI53">
    <cfRule type="duplicateValues" dxfId="658" priority="68"/>
  </conditionalFormatting>
  <conditionalFormatting sqref="FI54">
    <cfRule type="duplicateValues" dxfId="657" priority="67"/>
  </conditionalFormatting>
  <conditionalFormatting sqref="GD53">
    <cfRule type="duplicateValues" dxfId="656" priority="66"/>
  </conditionalFormatting>
  <conditionalFormatting sqref="GD54">
    <cfRule type="duplicateValues" dxfId="655" priority="65"/>
  </conditionalFormatting>
  <conditionalFormatting sqref="PV53">
    <cfRule type="duplicateValues" dxfId="654" priority="64"/>
  </conditionalFormatting>
  <conditionalFormatting sqref="PA53">
    <cfRule type="duplicateValues" dxfId="653" priority="63"/>
  </conditionalFormatting>
  <conditionalFormatting sqref="OF53">
    <cfRule type="duplicateValues" dxfId="652" priority="62"/>
  </conditionalFormatting>
  <conditionalFormatting sqref="NK53">
    <cfRule type="duplicateValues" dxfId="651" priority="61"/>
  </conditionalFormatting>
  <conditionalFormatting sqref="MP53">
    <cfRule type="duplicateValues" dxfId="650" priority="60"/>
  </conditionalFormatting>
  <conditionalFormatting sqref="LU53">
    <cfRule type="duplicateValues" dxfId="649" priority="59"/>
  </conditionalFormatting>
  <conditionalFormatting sqref="KZ53">
    <cfRule type="duplicateValues" dxfId="648" priority="58"/>
  </conditionalFormatting>
  <conditionalFormatting sqref="KE53">
    <cfRule type="duplicateValues" dxfId="647" priority="57"/>
  </conditionalFormatting>
  <conditionalFormatting sqref="JJ53">
    <cfRule type="duplicateValues" dxfId="646" priority="56"/>
  </conditionalFormatting>
  <conditionalFormatting sqref="IO53">
    <cfRule type="duplicateValues" dxfId="645" priority="55"/>
  </conditionalFormatting>
  <conditionalFormatting sqref="HT53">
    <cfRule type="duplicateValues" dxfId="644" priority="54"/>
  </conditionalFormatting>
  <conditionalFormatting sqref="GY53">
    <cfRule type="duplicateValues" dxfId="643" priority="53"/>
  </conditionalFormatting>
  <conditionalFormatting sqref="AC68">
    <cfRule type="duplicateValues" dxfId="642" priority="52"/>
  </conditionalFormatting>
  <conditionalFormatting sqref="T71:AC71">
    <cfRule type="duplicateValues" dxfId="641" priority="51"/>
  </conditionalFormatting>
  <conditionalFormatting sqref="T72:AC72">
    <cfRule type="duplicateValues" dxfId="640" priority="50"/>
  </conditionalFormatting>
  <conditionalFormatting sqref="T73:AB73">
    <cfRule type="duplicateValues" dxfId="639" priority="49"/>
  </conditionalFormatting>
  <conditionalFormatting sqref="AC73">
    <cfRule type="duplicateValues" dxfId="638" priority="48"/>
  </conditionalFormatting>
  <conditionalFormatting sqref="AC74">
    <cfRule type="duplicateValues" dxfId="637" priority="47"/>
  </conditionalFormatting>
  <conditionalFormatting sqref="T74:AB74">
    <cfRule type="duplicateValues" dxfId="636" priority="46"/>
  </conditionalFormatting>
  <conditionalFormatting sqref="T70:AB70">
    <cfRule type="duplicateValues" dxfId="635" priority="45"/>
  </conditionalFormatting>
  <conditionalFormatting sqref="AC70">
    <cfRule type="duplicateValues" dxfId="634" priority="44"/>
  </conditionalFormatting>
  <conditionalFormatting sqref="T76:AB76">
    <cfRule type="duplicateValues" dxfId="633" priority="43"/>
  </conditionalFormatting>
  <conditionalFormatting sqref="AD76:AL76">
    <cfRule type="duplicateValues" dxfId="632" priority="42"/>
  </conditionalFormatting>
  <conditionalFormatting sqref="AC77">
    <cfRule type="duplicateValues" dxfId="631" priority="41"/>
  </conditionalFormatting>
  <conditionalFormatting sqref="T78:AB78">
    <cfRule type="duplicateValues" dxfId="630" priority="35"/>
  </conditionalFormatting>
  <conditionalFormatting sqref="T79:AB79">
    <cfRule type="duplicateValues" dxfId="629" priority="39"/>
  </conditionalFormatting>
  <conditionalFormatting sqref="T80:AB80">
    <cfRule type="duplicateValues" dxfId="628" priority="34"/>
  </conditionalFormatting>
  <conditionalFormatting sqref="T81:AB81">
    <cfRule type="duplicateValues" dxfId="627" priority="33"/>
  </conditionalFormatting>
  <conditionalFormatting sqref="U82:AB82">
    <cfRule type="duplicateValues" dxfId="626" priority="32"/>
  </conditionalFormatting>
  <conditionalFormatting sqref="T82">
    <cfRule type="duplicateValues" dxfId="625" priority="31"/>
  </conditionalFormatting>
  <conditionalFormatting sqref="T83:AB83">
    <cfRule type="duplicateValues" dxfId="624" priority="30"/>
  </conditionalFormatting>
  <conditionalFormatting sqref="T84:AB84">
    <cfRule type="duplicateValues" dxfId="623" priority="29"/>
  </conditionalFormatting>
  <conditionalFormatting sqref="T85:AB85">
    <cfRule type="duplicateValues" dxfId="622" priority="28"/>
  </conditionalFormatting>
  <conditionalFormatting sqref="T86:AB86">
    <cfRule type="duplicateValues" dxfId="621" priority="27"/>
  </conditionalFormatting>
  <conditionalFormatting sqref="T87:AB87">
    <cfRule type="duplicateValues" dxfId="620" priority="26"/>
  </conditionalFormatting>
  <conditionalFormatting sqref="T89:AB89">
    <cfRule type="duplicateValues" dxfId="619" priority="25"/>
  </conditionalFormatting>
  <conditionalFormatting sqref="T88:AB88">
    <cfRule type="duplicateValues" dxfId="618" priority="40"/>
  </conditionalFormatting>
  <conditionalFormatting sqref="T90:AB90">
    <cfRule type="duplicateValues" dxfId="617" priority="24"/>
  </conditionalFormatting>
  <conditionalFormatting sqref="AC78">
    <cfRule type="duplicateValues" dxfId="616" priority="20"/>
  </conditionalFormatting>
  <conditionalFormatting sqref="AC80">
    <cfRule type="duplicateValues" dxfId="615" priority="19"/>
  </conditionalFormatting>
  <conditionalFormatting sqref="AC81">
    <cfRule type="duplicateValues" dxfId="614" priority="18"/>
  </conditionalFormatting>
  <conditionalFormatting sqref="AC79">
    <cfRule type="duplicateValues" dxfId="613" priority="17"/>
  </conditionalFormatting>
  <conditionalFormatting sqref="AC82">
    <cfRule type="duplicateValues" dxfId="612" priority="15"/>
  </conditionalFormatting>
  <conditionalFormatting sqref="AC83">
    <cfRule type="duplicateValues" dxfId="611" priority="14"/>
  </conditionalFormatting>
  <conditionalFormatting sqref="AC84">
    <cfRule type="duplicateValues" dxfId="610" priority="13"/>
  </conditionalFormatting>
  <conditionalFormatting sqref="AC85">
    <cfRule type="duplicateValues" dxfId="609" priority="12"/>
  </conditionalFormatting>
  <conditionalFormatting sqref="AC86">
    <cfRule type="duplicateValues" dxfId="608" priority="11"/>
  </conditionalFormatting>
  <conditionalFormatting sqref="AC87">
    <cfRule type="duplicateValues" dxfId="607" priority="10"/>
  </conditionalFormatting>
  <conditionalFormatting sqref="AC89">
    <cfRule type="duplicateValues" dxfId="606" priority="9"/>
  </conditionalFormatting>
  <conditionalFormatting sqref="AC88">
    <cfRule type="duplicateValues" dxfId="605" priority="16"/>
  </conditionalFormatting>
  <conditionalFormatting sqref="AC90">
    <cfRule type="duplicateValues" dxfId="604" priority="8"/>
  </conditionalFormatting>
  <conditionalFormatting sqref="T97:AB97">
    <cfRule type="duplicateValues" dxfId="603" priority="7"/>
  </conditionalFormatting>
  <conditionalFormatting sqref="AD97:AG97">
    <cfRule type="duplicateValues" dxfId="602" priority="6"/>
  </conditionalFormatting>
  <conditionalFormatting sqref="AH97:AL97">
    <cfRule type="duplicateValues" dxfId="601" priority="5"/>
  </conditionalFormatting>
  <conditionalFormatting sqref="AM97">
    <cfRule type="duplicateValues" dxfId="600" priority="4"/>
  </conditionalFormatting>
  <conditionalFormatting sqref="AC97">
    <cfRule type="duplicateValues" dxfId="599" priority="3"/>
  </conditionalFormatting>
  <conditionalFormatting sqref="AC32">
    <cfRule type="duplicateValues" dxfId="598" priority="1"/>
  </conditionalFormatting>
  <conditionalFormatting sqref="AC31">
    <cfRule type="duplicateValues" dxfId="597" priority="2"/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5" shapeId="50204" r:id="rId5">
          <objectPr defaultSize="0" autoPict="0" r:id="rId6">
            <anchor moveWithCells="1" sizeWithCells="1">
              <from>
                <xdr:col>2</xdr:col>
                <xdr:colOff>190500</xdr:colOff>
                <xdr:row>68</xdr:row>
                <xdr:rowOff>68580</xdr:rowOff>
              </from>
              <to>
                <xdr:col>2</xdr:col>
                <xdr:colOff>601980</xdr:colOff>
                <xdr:row>68</xdr:row>
                <xdr:rowOff>373380</xdr:rowOff>
              </to>
            </anchor>
          </objectPr>
        </oleObject>
      </mc:Choice>
      <mc:Fallback>
        <oleObject progId="CorelDraw.Graphic.15" shapeId="50204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7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8" name="Group Box 3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342900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9" name="Option Button 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0" name="Option Button 1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312420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1" name="Option Button 1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312420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2" name="Option Button 1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312420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3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30480</xdr:rowOff>
                  </from>
                  <to>
                    <xdr:col>10</xdr:col>
                    <xdr:colOff>312420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4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7620</xdr:rowOff>
                  </from>
                  <to>
                    <xdr:col>10</xdr:col>
                    <xdr:colOff>312420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5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18</xdr:row>
                    <xdr:rowOff>0</xdr:rowOff>
                  </from>
                  <to>
                    <xdr:col>10</xdr:col>
                    <xdr:colOff>312420</xdr:colOff>
                    <xdr:row>18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6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0</xdr:rowOff>
                  </from>
                  <to>
                    <xdr:col>10</xdr:col>
                    <xdr:colOff>388620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17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312420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18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342900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1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3" r:id="rId20" name="Option Button 27">
              <controlPr defaultSize="0" autoFill="0" autoLine="0" autoPict="0" altText="">
                <anchor moveWithCells="1">
                  <from>
                    <xdr:col>12</xdr:col>
                    <xdr:colOff>68580</xdr:colOff>
                    <xdr:row>15</xdr:row>
                    <xdr:rowOff>7620</xdr:rowOff>
                  </from>
                  <to>
                    <xdr:col>12</xdr:col>
                    <xdr:colOff>114300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6" r:id="rId21" name="Option Button 3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312420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7" r:id="rId22" name="Option Button 31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342900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8" r:id="rId2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6" r:id="rId24" name="Group Box 40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7" r:id="rId25" name="Option Button 41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8" r:id="rId26" name="Option Button 42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05" id="{67760967-980E-4E65-96EF-BE436B40B677}">
            <xm:f>$H$34=Formeln!$A$1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H34:K34</xm:sqref>
        </x14:conditionalFormatting>
        <x14:conditionalFormatting xmlns:xm="http://schemas.microsoft.com/office/excel/2006/main">
          <x14:cfRule type="expression" priority="804" id="{17A422B1-D01E-470B-B781-ABCBB6B6F14F}">
            <xm:f>$H$35=Formeln!$A$1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H35:K35</xm:sqref>
        </x14:conditionalFormatting>
        <x14:conditionalFormatting xmlns:xm="http://schemas.microsoft.com/office/excel/2006/main">
          <x14:cfRule type="expression" priority="803" id="{751DD67E-9843-4911-878B-2EF0049F9F4B}">
            <xm:f>$H$37=Formeln!$A$1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H37:K37</xm:sqref>
        </x14:conditionalFormatting>
        <x14:conditionalFormatting xmlns:xm="http://schemas.microsoft.com/office/excel/2006/main">
          <x14:cfRule type="expression" priority="796" id="{1C0C1B90-7EF3-487C-919B-AAEF3EDB3EE2}">
            <xm:f>$I$96=Formeln!$A$1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I96:K96</xm:sqref>
        </x14:conditionalFormatting>
        <x14:conditionalFormatting xmlns:xm="http://schemas.microsoft.com/office/excel/2006/main">
          <x14:cfRule type="expression" priority="795" id="{20A3201D-3A63-409B-8417-1B70CB314E79}">
            <xm:f>$I$97=Formeln!$A$1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I97</xm:sqref>
        </x14:conditionalFormatting>
        <x14:conditionalFormatting xmlns:xm="http://schemas.microsoft.com/office/excel/2006/main">
          <x14:cfRule type="expression" priority="793" id="{082AF4D2-02CE-4B97-9A92-FD282B592078}">
            <xm:f>$K$97=Formeln!$A$1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K97</xm:sqref>
        </x14:conditionalFormatting>
        <x14:conditionalFormatting xmlns:xm="http://schemas.microsoft.com/office/excel/2006/main">
          <x14:cfRule type="expression" priority="457" id="{2D9C7DDD-E479-4D3D-9ECA-D881EA6E51E7}">
            <xm:f>$H$47=Formeln!$A$1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H47:K47</xm:sqref>
        </x14:conditionalFormatting>
        <x14:conditionalFormatting xmlns:xm="http://schemas.microsoft.com/office/excel/2006/main">
          <x14:cfRule type="expression" priority="456" id="{B2F83216-493E-45D1-8C0D-614DB5BC3E76}">
            <xm:f>$H$48=Formeln!$A$1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H48:K48</xm:sqref>
        </x14:conditionalFormatting>
        <x14:conditionalFormatting xmlns:xm="http://schemas.microsoft.com/office/excel/2006/main">
          <x14:cfRule type="expression" priority="452" id="{D6870BF9-B843-4274-A47A-7FA11E240B8D}">
            <xm:f>$J$53=Formeln!$A$1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J53:K53</xm:sqref>
        </x14:conditionalFormatting>
        <x14:conditionalFormatting xmlns:xm="http://schemas.microsoft.com/office/excel/2006/main">
          <x14:cfRule type="expression" priority="451" id="{4E2F2D5D-2E68-460B-A88C-93ADF3952F5A}">
            <xm:f>$J$54=Formeln!$A$1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J54:K54</xm:sqref>
        </x14:conditionalFormatting>
        <x14:conditionalFormatting xmlns:xm="http://schemas.microsoft.com/office/excel/2006/main">
          <x14:cfRule type="expression" priority="450" id="{ACFF4663-B411-46DF-BC93-DE6111AC7770}">
            <xm:f>$J$55=Formeln!$A$1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J55:K55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700-000000000000}">
          <x14:formula1>
            <xm:f>Formeln!$A$27:$A$48</xm:f>
          </x14:formula1>
          <xm:sqref>J53:K53</xm:sqref>
        </x14:dataValidation>
        <x14:dataValidation type="list" allowBlank="1" showInputMessage="1" showErrorMessage="1" xr:uid="{00000000-0002-0000-0700-000001000000}">
          <x14:formula1>
            <xm:f>Formeln!$A$20:$A$22</xm:f>
          </x14:formula1>
          <xm:sqref>I97</xm:sqref>
        </x14:dataValidation>
        <x14:dataValidation type="list" allowBlank="1" showInputMessage="1" showErrorMessage="1" xr:uid="{00000000-0002-0000-0700-000002000000}">
          <x14:formula1>
            <xm:f>Formeln!$A$17:$A$19</xm:f>
          </x14:formula1>
          <xm:sqref>H48:K48</xm:sqref>
        </x14:dataValidation>
        <x14:dataValidation type="list" allowBlank="1" showInputMessage="1" showErrorMessage="1" xr:uid="{00000000-0002-0000-0700-000003000000}">
          <x14:formula1>
            <xm:f>Formeln!$A$14:$A$16</xm:f>
          </x14:formula1>
          <xm:sqref>H47:K47</xm:sqref>
        </x14:dataValidation>
        <x14:dataValidation type="list" allowBlank="1" showInputMessage="1" showErrorMessage="1" xr:uid="{00000000-0002-0000-0700-000004000000}">
          <x14:formula1>
            <xm:f>Formeln!$A$9:$A$12</xm:f>
          </x14:formula1>
          <xm:sqref>H37:K37</xm:sqref>
        </x14:dataValidation>
        <x14:dataValidation type="list" allowBlank="1" showInputMessage="1" showErrorMessage="1" xr:uid="{00000000-0002-0000-0700-000005000000}">
          <x14:formula1>
            <xm:f>Formeln!$A$5:$A$8</xm:f>
          </x14:formula1>
          <xm:sqref>H35:K35</xm:sqref>
        </x14:dataValidation>
        <x14:dataValidation type="list" allowBlank="1" showInputMessage="1" showErrorMessage="1" xr:uid="{00000000-0002-0000-0700-000006000000}">
          <x14:formula1>
            <xm:f>Formeln!$A$1:$A$4</xm:f>
          </x14:formula1>
          <xm:sqref>H34:K34</xm:sqref>
        </x14:dataValidation>
        <x14:dataValidation type="list" allowBlank="1" showInputMessage="1" showErrorMessage="1" xr:uid="{00000000-0002-0000-0700-000007000000}">
          <x14:formula1>
            <xm:f>Formeln!$A$103:$A$108</xm:f>
          </x14:formula1>
          <xm:sqref>I96:K96</xm:sqref>
        </x14:dataValidation>
        <x14:dataValidation type="list" allowBlank="1" showInputMessage="1" showErrorMessage="1" xr:uid="{00000000-0002-0000-0700-000008000000}">
          <x14:formula1>
            <xm:f>Formeln!$A$49:$A$100</xm:f>
          </x14:formula1>
          <xm:sqref>J54:K54</xm:sqref>
        </x14:dataValidation>
        <x14:dataValidation type="list" allowBlank="1" showInputMessage="1" showErrorMessage="1" xr:uid="{00000000-0002-0000-0700-000009000000}">
          <x14:formula1>
            <xm:f>Formeln!$C$49:$C$108</xm:f>
          </x14:formula1>
          <xm:sqref>J55:K55</xm:sqref>
        </x14:dataValidation>
        <x14:dataValidation type="list" allowBlank="1" showInputMessage="1" showErrorMessage="1" xr:uid="{00000000-0002-0000-0700-00000A000000}">
          <x14:formula1>
            <xm:f>Formeln!$A$124:$A$134</xm:f>
          </x14:formula1>
          <xm:sqref>K97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/>
  <dimension ref="A1:CU125"/>
  <sheetViews>
    <sheetView showGridLines="0" showZeros="0" zoomScaleNormal="100" workbookViewId="0">
      <selection activeCell="C9" sqref="C9:E9"/>
    </sheetView>
  </sheetViews>
  <sheetFormatPr baseColWidth="10" defaultColWidth="0" defaultRowHeight="14.25" customHeight="1" zeroHeight="1"/>
  <cols>
    <col min="1" max="2" width="9.6640625" style="1" customWidth="1"/>
    <col min="3" max="3" width="11.6640625" style="1" customWidth="1"/>
    <col min="4" max="4" width="10.6640625" style="1" customWidth="1"/>
    <col min="5" max="5" width="13.6640625" style="1" customWidth="1"/>
    <col min="6" max="6" width="10.6640625" style="1" customWidth="1"/>
    <col min="7" max="7" width="9.6640625" style="1" customWidth="1"/>
    <col min="8" max="8" width="12.44140625" style="1" customWidth="1"/>
    <col min="9" max="9" width="13.6640625" style="1" customWidth="1"/>
    <col min="10" max="10" width="9.6640625" style="1" customWidth="1"/>
    <col min="11" max="11" width="10.6640625" style="1" customWidth="1"/>
    <col min="12" max="12" width="13.6640625" style="1" customWidth="1"/>
    <col min="13" max="13" width="9.6640625" style="1" customWidth="1"/>
    <col min="14" max="14" width="2.6640625" style="5" customWidth="1"/>
    <col min="15" max="15" width="30.6640625" style="9" hidden="1" customWidth="1"/>
    <col min="16" max="16" width="26" style="9" hidden="1" customWidth="1"/>
    <col min="17" max="17" width="26" style="1" hidden="1" customWidth="1"/>
    <col min="18" max="18" width="5.6640625" style="1" hidden="1" customWidth="1"/>
    <col min="19" max="19" width="1.33203125" style="1" hidden="1" customWidth="1"/>
    <col min="20" max="87" width="11.6640625" style="1" hidden="1" customWidth="1"/>
    <col min="88" max="16384" width="8.6640625" style="1" hidden="1"/>
  </cols>
  <sheetData>
    <row r="1" spans="1:17" ht="28.2">
      <c r="M1" s="2" t="str">
        <f>VLOOKUP("DACHSYSTEME",Sprachindex!A:Z,Info!$O$6,FALSE)</f>
        <v>DACHSYSTEME</v>
      </c>
    </row>
    <row r="2" spans="1:17" ht="28.2">
      <c r="D2" s="19"/>
      <c r="M2" s="2" t="str">
        <f>VLOOKUP("PREFALZ",Sprachindex!A:Z,Info!$O$6,FALSE)</f>
        <v>PREFALZ</v>
      </c>
    </row>
    <row r="3" spans="1:17" ht="15" customHeight="1"/>
    <row r="4" spans="1:17" ht="17.399999999999999">
      <c r="A4" s="86"/>
      <c r="B4" s="86"/>
      <c r="C4" s="86"/>
      <c r="D4" s="86"/>
      <c r="E4" s="86"/>
      <c r="F4" s="86"/>
      <c r="G4" s="86"/>
      <c r="H4" s="86"/>
      <c r="J4" s="107" t="str">
        <f>VLOOKUP("RETOURNIERUNG PER FAX:",Sprachindex!A:Z,Info!$O$6,FALSE)</f>
        <v>RETOURNIERUNG PER FAX:</v>
      </c>
      <c r="K4" s="254"/>
      <c r="L4" s="255"/>
      <c r="M4" s="256"/>
      <c r="N4" s="87"/>
      <c r="Q4" s="3"/>
    </row>
    <row r="5" spans="1:17" ht="17.399999999999999">
      <c r="A5" s="86"/>
      <c r="B5" s="86"/>
      <c r="C5" s="86"/>
      <c r="D5" s="86"/>
      <c r="E5" s="86"/>
      <c r="F5" s="86"/>
      <c r="G5" s="86"/>
      <c r="H5" s="86"/>
      <c r="J5" s="107" t="str">
        <f>VLOOKUP("ODER EMAIL:",Sprachindex!A:Z,Info!$O$6,FALSE)</f>
        <v>ODER EMAIL:</v>
      </c>
      <c r="K5" s="254"/>
      <c r="L5" s="255"/>
      <c r="M5" s="256"/>
      <c r="N5" s="87"/>
      <c r="Q5" s="3"/>
    </row>
    <row r="6" spans="1:17" ht="17.399999999999999">
      <c r="A6" s="86"/>
      <c r="B6" s="86"/>
      <c r="C6" s="86"/>
      <c r="D6" s="86"/>
      <c r="E6" s="86"/>
      <c r="F6" s="86"/>
      <c r="G6" s="86"/>
      <c r="H6" s="86"/>
      <c r="J6" s="107" t="str">
        <f>VLOOKUP("Datum:",Sprachindex!A:Z,Info!$O$6,FALSE)</f>
        <v>Datum:</v>
      </c>
      <c r="K6" s="254"/>
      <c r="L6" s="255"/>
      <c r="M6" s="256"/>
      <c r="N6" s="119"/>
      <c r="Q6" s="3"/>
    </row>
    <row r="7" spans="1:17" ht="17.399999999999999">
      <c r="A7" s="86"/>
      <c r="B7" s="86"/>
      <c r="C7" s="86"/>
      <c r="D7" s="86"/>
      <c r="E7" s="86"/>
      <c r="F7" s="86"/>
      <c r="G7" s="86"/>
      <c r="H7" s="86"/>
      <c r="J7" s="107" t="str">
        <f>VLOOKUP("Bestellnummer:",Sprachindex!A:Z,Info!$O$6,FALSE)</f>
        <v>Bestellnummer:</v>
      </c>
      <c r="K7" s="254"/>
      <c r="L7" s="255"/>
      <c r="M7" s="256"/>
      <c r="N7" s="119"/>
      <c r="Q7" s="3"/>
    </row>
    <row r="8" spans="1:17" ht="17.399999999999999">
      <c r="A8" s="106" t="str">
        <f>VLOOKUP("Firma / Besteller:",Sprachindex!A:Z,Info!$O$6,FALSE)</f>
        <v>Firma / Besteller: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/>
      <c r="P8" s="10"/>
    </row>
    <row r="9" spans="1:17" ht="15" customHeight="1">
      <c r="A9" s="86"/>
      <c r="B9" s="90" t="str">
        <f>VLOOKUP("Name:",Sprachindex!A:Z,Info!$O$6,FALSE)</f>
        <v>Name:</v>
      </c>
      <c r="C9" s="254"/>
      <c r="D9" s="255"/>
      <c r="E9" s="256"/>
      <c r="F9" s="86"/>
      <c r="G9" s="105" t="str">
        <f>VLOOKUP("Oberfläche:",Sprachindex!A:Z,Info!$O$6,FALSE)</f>
        <v>Oberfläche:</v>
      </c>
      <c r="H9" s="86"/>
      <c r="J9" s="112" t="str">
        <f>VLOOKUP("stucco",Sprachindex!A:Z,Info!$O$6,FALSE)</f>
        <v>stucco</v>
      </c>
      <c r="K9" s="86"/>
      <c r="L9" s="85" t="str">
        <f>VLOOKUP("glatt",Sprachindex!A:Z,Info!$O$6,FALSE)</f>
        <v>glatt</v>
      </c>
      <c r="M9" s="86"/>
      <c r="N9" s="119"/>
      <c r="O9" s="11"/>
      <c r="Q9" s="4"/>
    </row>
    <row r="10" spans="1:17" ht="15" customHeight="1">
      <c r="A10" s="86"/>
      <c r="B10" s="90" t="str">
        <f>VLOOKUP("Straße:",Sprachindex!A:Z,Info!$O$6,FALSE)</f>
        <v>Straße:</v>
      </c>
      <c r="C10" s="254"/>
      <c r="D10" s="255"/>
      <c r="E10" s="256"/>
      <c r="F10" s="86"/>
      <c r="G10" s="86"/>
      <c r="H10" s="86"/>
      <c r="I10" s="86"/>
      <c r="J10" s="87">
        <v>1</v>
      </c>
      <c r="K10" s="86"/>
      <c r="L10" s="86"/>
      <c r="M10" s="86"/>
      <c r="N10" s="87"/>
      <c r="Q10" s="4"/>
    </row>
    <row r="11" spans="1:17" ht="15" customHeight="1">
      <c r="A11" s="86"/>
      <c r="B11" s="90" t="str">
        <f>VLOOKUP("Ort:",Sprachindex!A:Z,Info!$O$6,FALSE)</f>
        <v>Ort:</v>
      </c>
      <c r="C11" s="254"/>
      <c r="D11" s="255"/>
      <c r="E11" s="256"/>
      <c r="F11" s="86"/>
      <c r="G11" s="105" t="str">
        <f>VLOOKUP("Mengenermittlung in:",Sprachindex!A:Z,Info!$O$6,FALSE)</f>
        <v>Mengenermittlung in:</v>
      </c>
      <c r="H11" s="86"/>
      <c r="I11" s="112"/>
      <c r="J11" s="112" t="str">
        <f>VLOOKUP("VPE",Sprachindex!A:Z,Info!$O$6,FALSE)</f>
        <v>VPE</v>
      </c>
      <c r="K11" s="86"/>
      <c r="L11" s="85" t="str">
        <f>VLOOKUP("STK",Sprachindex!A:Z,Info!$O$6,FALSE)</f>
        <v>STK</v>
      </c>
      <c r="M11" s="86"/>
      <c r="N11" s="119"/>
      <c r="O11" s="11"/>
      <c r="Q11" s="4"/>
    </row>
    <row r="12" spans="1:17" ht="15" customHeight="1">
      <c r="A12" s="86"/>
      <c r="B12" s="86"/>
      <c r="C12" s="86"/>
      <c r="D12" s="86"/>
      <c r="E12" s="86"/>
      <c r="F12" s="86"/>
      <c r="G12" s="86"/>
      <c r="H12" s="86"/>
      <c r="I12" s="90"/>
      <c r="J12" s="87">
        <v>1</v>
      </c>
      <c r="K12" s="86"/>
      <c r="L12" s="86"/>
      <c r="M12" s="86"/>
      <c r="N12" s="87"/>
    </row>
    <row r="13" spans="1:17" ht="15" customHeight="1">
      <c r="A13" s="86"/>
      <c r="B13" s="90" t="str">
        <f>VLOOKUP("Ansprechpartner:",Sprachindex!A:Z,Info!$O$6,FALSE)</f>
        <v>Ansprechpartner:</v>
      </c>
      <c r="C13" s="254"/>
      <c r="D13" s="255"/>
      <c r="E13" s="256"/>
      <c r="F13" s="86"/>
      <c r="G13" s="105" t="str">
        <f>VLOOKUP("Service:",Sprachindex!A:Z,Info!$O$6,FALSE)</f>
        <v>Service:</v>
      </c>
      <c r="H13" s="86"/>
      <c r="I13" s="112" t="str">
        <f>VLOOKUP("Mengenermittlung/Anfrage",Sprachindex!A:Z,Info!$O$6,FALSE)</f>
        <v>Mengenermittlung/Anfrage</v>
      </c>
      <c r="J13" s="85"/>
      <c r="K13" s="86"/>
      <c r="L13" s="85" t="str">
        <f>VLOOKUP("Bestellung",Sprachindex!A:Z,Info!$O$6,FALSE)</f>
        <v>Bestellung</v>
      </c>
      <c r="M13" s="86"/>
      <c r="N13" s="119"/>
      <c r="O13" s="12"/>
      <c r="Q13" s="4"/>
    </row>
    <row r="14" spans="1:17" ht="15" customHeight="1">
      <c r="A14" s="86"/>
      <c r="B14" s="90" t="str">
        <f>VLOOKUP("Telefon:",Sprachindex!A:Z,Info!$O$6,FALSE)</f>
        <v>Telefon:</v>
      </c>
      <c r="C14" s="254"/>
      <c r="D14" s="255"/>
      <c r="E14" s="256"/>
      <c r="F14" s="86"/>
      <c r="G14" s="86"/>
      <c r="H14" s="86"/>
      <c r="I14" s="86"/>
      <c r="J14" s="86"/>
      <c r="K14" s="86"/>
      <c r="L14" s="86"/>
      <c r="M14" s="86"/>
      <c r="N14" s="87"/>
      <c r="Q14" s="4"/>
    </row>
    <row r="15" spans="1:17" ht="15" customHeight="1">
      <c r="A15" s="86"/>
      <c r="B15" s="90" t="str">
        <f>VLOOKUP("eMail:",Sprachindex!A:Z,Info!$O$6,FALSE)</f>
        <v>eMail:</v>
      </c>
      <c r="C15" s="254"/>
      <c r="D15" s="255"/>
      <c r="E15" s="256"/>
      <c r="F15" s="86"/>
      <c r="G15" s="113" t="str">
        <f>VLOOKUP("Farbe:",Sprachindex!A:Z,Info!$O$6,FALSE)</f>
        <v>Farbe:</v>
      </c>
      <c r="H15" s="86"/>
      <c r="I15" s="86"/>
      <c r="J15" s="86"/>
      <c r="K15" s="86"/>
      <c r="L15" s="86"/>
      <c r="M15" s="86"/>
      <c r="N15" s="87"/>
      <c r="Q15" s="4"/>
    </row>
    <row r="16" spans="1:17" ht="15" customHeight="1">
      <c r="A16" s="86"/>
      <c r="B16" s="86"/>
      <c r="C16" s="86"/>
      <c r="D16" s="86"/>
      <c r="E16" s="86"/>
      <c r="F16" s="86"/>
      <c r="G16" s="86" t="str">
        <f>VLOOKUP("01 P.10 braun",Sprachindex!A:Z,Info!$O$6,FALSE)</f>
        <v>01 P.10 braun</v>
      </c>
      <c r="H16" s="86"/>
      <c r="I16" s="85" t="str">
        <f>VLOOKUP("11 P.10 nussbraun",Sprachindex!A:Z,Info!$O$6,FALSE)</f>
        <v>11 P.10 nussbraun</v>
      </c>
      <c r="J16" s="86"/>
      <c r="K16" s="85" t="str">
        <f>VLOOKUP("46 patina grün",Sprachindex!A:Z,Info!$O$6,FALSE)</f>
        <v>46 patina grün</v>
      </c>
      <c r="L16" s="86"/>
      <c r="M16" s="86"/>
      <c r="N16" s="87"/>
    </row>
    <row r="17" spans="1:99" ht="15" customHeight="1">
      <c r="A17" s="106" t="str">
        <f>VLOOKUP("Lieferadresse:",Sprachindex!A:Z,Info!$O$6,FALSE)</f>
        <v>Lieferadresse:</v>
      </c>
      <c r="B17" s="86"/>
      <c r="C17" s="86"/>
      <c r="D17" s="86"/>
      <c r="E17" s="86"/>
      <c r="F17" s="86"/>
      <c r="G17" s="86" t="str">
        <f>VLOOKUP("02 P.10 anthrazit",Sprachindex!A:Z,Info!$O$6,FALSE)</f>
        <v>02 P.10 anthrazit</v>
      </c>
      <c r="H17" s="86"/>
      <c r="I17" s="85" t="str">
        <f>VLOOKUP("06 P.10 moosgrün",Sprachindex!A:Z,Info!$O$6,FALSE)</f>
        <v>06 P.10 moosgrün</v>
      </c>
      <c r="J17" s="86"/>
      <c r="K17" s="85" t="str">
        <f>VLOOKUP("23 schwarzgrau",Sprachindex!A:Z,Info!$O$6,FALSE)</f>
        <v>23 schwarzgrau</v>
      </c>
      <c r="L17" s="86"/>
      <c r="M17" s="86"/>
      <c r="N17" s="87"/>
      <c r="P17" s="10"/>
    </row>
    <row r="18" spans="1:99" ht="15" customHeight="1">
      <c r="A18" s="86"/>
      <c r="B18" s="90" t="str">
        <f>VLOOKUP("Name:",Sprachindex!A:Z,Info!$O$6,FALSE)</f>
        <v>Name:</v>
      </c>
      <c r="C18" s="254"/>
      <c r="D18" s="255"/>
      <c r="E18" s="256"/>
      <c r="F18" s="86"/>
      <c r="G18" s="86" t="str">
        <f>VLOOKUP("03 P.10 schwarz",Sprachindex!A:Z,Info!$O$6,FALSE)</f>
        <v>03 P.10 schwarz</v>
      </c>
      <c r="H18" s="86"/>
      <c r="I18" s="85" t="str">
        <f>VLOOKUP("08 P.10 zinkgrau",Sprachindex!A:Z,Info!$O$6,FALSE)</f>
        <v>08 P.10 zinkgrau</v>
      </c>
      <c r="J18" s="86"/>
      <c r="K18" s="85" t="str">
        <f>VLOOKUP("47 patina grau",Sprachindex!A:Z,Info!$O$6,FALSE)</f>
        <v>47 patina grau</v>
      </c>
      <c r="L18" s="86"/>
      <c r="M18" s="86"/>
      <c r="N18" s="114"/>
      <c r="Q18" s="4"/>
    </row>
    <row r="19" spans="1:99" ht="15" customHeight="1">
      <c r="A19" s="86"/>
      <c r="B19" s="90" t="str">
        <f>VLOOKUP("Kommission:",Sprachindex!A:Z,Info!$O$6,FALSE)</f>
        <v>Kommission:</v>
      </c>
      <c r="C19" s="254"/>
      <c r="D19" s="255"/>
      <c r="E19" s="256"/>
      <c r="F19" s="86"/>
      <c r="G19" s="86" t="str">
        <f>VLOOKUP("04 P.10 ziegelrot",Sprachindex!A:Z,Info!$O$6,FALSE)</f>
        <v>04 P.10 ziegelrot</v>
      </c>
      <c r="H19" s="86"/>
      <c r="I19" s="85" t="str">
        <f>VLOOKUP("10 P.10 prefaweiß",Sprachindex!A:Z,Info!$O$6,FALSE)</f>
        <v>10 P.10 prefaweiß</v>
      </c>
      <c r="J19" s="86"/>
      <c r="K19" s="85" t="str">
        <f>VLOOKUP("17 P.10 reinweiß",Sprachindex!A:Z,Info!$O$6,FALSE)</f>
        <v>17 P.10 reinweiß</v>
      </c>
      <c r="L19" s="86"/>
      <c r="M19" s="86"/>
      <c r="N19" s="87"/>
      <c r="Q19" s="4"/>
    </row>
    <row r="20" spans="1:99" ht="15" customHeight="1">
      <c r="A20" s="86"/>
      <c r="B20" s="90" t="str">
        <f>VLOOKUP("Straße:",Sprachindex!A:Z,Info!$O$6,FALSE)</f>
        <v>Straße:</v>
      </c>
      <c r="C20" s="254"/>
      <c r="D20" s="255"/>
      <c r="E20" s="256"/>
      <c r="F20" s="86"/>
      <c r="G20" s="86" t="str">
        <f>VLOOKUP("05 P.10 oxydrot",Sprachindex!A:Z,Info!$O$6,FALSE)</f>
        <v>05 P.10 oxydrot</v>
      </c>
      <c r="H20" s="86"/>
      <c r="I20" s="86" t="str">
        <f>VLOOKUP("13 naturblank",Sprachindex!A:Z,Info!$O$6,FALSE)</f>
        <v>13 naturblank</v>
      </c>
      <c r="J20" s="86"/>
      <c r="K20" s="85" t="str">
        <f>VLOOKUP("19 P.10 dunkelgrau",Sprachindex!A:Z,Info!$O$6,FALSE)</f>
        <v>19 P.10 dunkelgrau</v>
      </c>
      <c r="L20" s="86"/>
      <c r="M20" s="86"/>
      <c r="N20" s="87"/>
      <c r="Q20" s="4"/>
    </row>
    <row r="21" spans="1:99" ht="15" customHeight="1">
      <c r="A21" s="86"/>
      <c r="B21" s="90" t="str">
        <f>VLOOKUP("Ort:",Sprachindex!A:Z,Info!$O$6,FALSE)</f>
        <v>Ort:</v>
      </c>
      <c r="C21" s="254"/>
      <c r="D21" s="255"/>
      <c r="E21" s="256"/>
      <c r="F21" s="86"/>
      <c r="G21" s="86" t="str">
        <f>VLOOKUP("07 P.10 hellgrau ",Sprachindex!A:Z,Info!$O$6,FALSE)</f>
        <v xml:space="preserve">07 P.10 hellgrau </v>
      </c>
      <c r="H21" s="86"/>
      <c r="I21" s="85" t="str">
        <f>VLOOKUP("12 silbermetallic",Sprachindex!A:Z,Info!$O$6,FALSE)</f>
        <v>12 silbermetallic</v>
      </c>
      <c r="J21" s="86"/>
      <c r="K21" s="128"/>
      <c r="L21" s="128"/>
      <c r="M21" s="86"/>
      <c r="N21" s="119"/>
      <c r="Q21" s="4"/>
    </row>
    <row r="22" spans="1:99" ht="15" customHeight="1">
      <c r="A22" s="86"/>
      <c r="B22" s="90"/>
      <c r="C22" s="86"/>
      <c r="D22" s="86"/>
      <c r="E22" s="86"/>
      <c r="F22" s="86"/>
      <c r="G22" s="85" t="str">
        <f>VLOOKUP("43 P.10 steingrau",Sprachindex!A:Z,Info!$O$6,FALSE)</f>
        <v>43 P.10 steingrau</v>
      </c>
      <c r="H22" s="86"/>
      <c r="I22" s="85" t="str">
        <f>VLOOKUP("45 bronze",Sprachindex!A:Z,Info!$O$6,FALSE)</f>
        <v>45 bronze</v>
      </c>
      <c r="J22" s="86"/>
      <c r="K22" s="86"/>
      <c r="L22" s="86"/>
      <c r="M22" s="86"/>
      <c r="N22" s="87"/>
      <c r="Q22" s="4"/>
    </row>
    <row r="23" spans="1:99" ht="15" customHeight="1">
      <c r="A23" s="86"/>
      <c r="B23" s="90"/>
      <c r="C23" s="86"/>
      <c r="D23" s="86"/>
      <c r="E23" s="86"/>
      <c r="F23" s="86"/>
      <c r="G23" s="85"/>
      <c r="H23" s="86"/>
      <c r="I23" s="85"/>
      <c r="J23" s="86"/>
      <c r="K23" s="86"/>
      <c r="L23" s="86"/>
      <c r="M23" s="86"/>
      <c r="N23" s="87"/>
      <c r="Q23" s="4"/>
    </row>
    <row r="24" spans="1:99" s="5" customFormat="1" ht="15" customHeight="1">
      <c r="A24" s="106" t="str">
        <f>VLOOKUP("Projektdaten:",Sprachindex!A:Z,Info!$O$6,FALSE)</f>
        <v>Projektdaten:</v>
      </c>
      <c r="B24" s="90"/>
      <c r="C24" s="86"/>
      <c r="D24" s="86"/>
      <c r="E24" s="86"/>
      <c r="F24" s="86"/>
      <c r="G24" s="106" t="str">
        <f>VLOOKUP("techn. Ausarbeitung PREFA:",Sprachindex!A:Z,Info!$O$6,FALSE)</f>
        <v>techn. Ausarbeitung PREFA:</v>
      </c>
      <c r="H24" s="90"/>
      <c r="I24" s="86"/>
      <c r="J24" s="86"/>
      <c r="K24" s="86"/>
      <c r="L24" s="86"/>
      <c r="M24" s="86"/>
      <c r="N24" s="87"/>
      <c r="O24" s="56"/>
      <c r="P24" s="56"/>
      <c r="Q24" s="14"/>
    </row>
    <row r="25" spans="1:99" s="5" customFormat="1" ht="15" customHeight="1">
      <c r="A25" s="1"/>
      <c r="B25" s="283" t="str">
        <f>VLOOKUP("Beschreibung",Sprachindex!A:Z,Info!$O$6,FALSE)</f>
        <v>Beschreibung</v>
      </c>
      <c r="C25" s="254"/>
      <c r="D25" s="255"/>
      <c r="E25" s="256"/>
      <c r="F25" s="86"/>
      <c r="G25" s="106"/>
      <c r="H25" s="90" t="str">
        <f>VLOOKUP("Bearbeiter:",Sprachindex!A:Z,Info!$O$6,FALSE)</f>
        <v>Bearbeiter:</v>
      </c>
      <c r="I25" s="254"/>
      <c r="J25" s="255"/>
      <c r="K25" s="256"/>
      <c r="L25" s="86"/>
      <c r="M25" s="86"/>
      <c r="N25" s="87"/>
      <c r="O25" s="56"/>
      <c r="P25" s="56"/>
      <c r="Q25" s="14"/>
    </row>
    <row r="26" spans="1:99" s="5" customFormat="1" ht="15" customHeight="1">
      <c r="A26" s="1"/>
      <c r="B26" s="283"/>
      <c r="C26" s="254"/>
      <c r="D26" s="255"/>
      <c r="E26" s="256"/>
      <c r="F26" s="86"/>
      <c r="G26" s="106"/>
      <c r="H26" s="90" t="str">
        <f>VLOOKUP("Telefon:",Sprachindex!A:Z,Info!$O$6,FALSE)</f>
        <v>Telefon:</v>
      </c>
      <c r="I26" s="254"/>
      <c r="J26" s="255"/>
      <c r="K26" s="256"/>
      <c r="L26" s="86"/>
      <c r="M26" s="86"/>
      <c r="N26" s="87"/>
      <c r="O26" s="56"/>
      <c r="P26" s="56"/>
      <c r="Q26" s="14"/>
    </row>
    <row r="27" spans="1:99" s="5" customFormat="1" ht="15" customHeight="1">
      <c r="A27" s="1"/>
      <c r="B27" s="283"/>
      <c r="C27" s="254"/>
      <c r="D27" s="255"/>
      <c r="E27" s="256"/>
      <c r="F27" s="86"/>
      <c r="G27" s="106"/>
      <c r="H27" s="90" t="str">
        <f>VLOOKUP("eMail:",Sprachindex!A:Z,Info!$O$6,FALSE)</f>
        <v>eMail:</v>
      </c>
      <c r="I27" s="254"/>
      <c r="J27" s="255"/>
      <c r="K27" s="256"/>
      <c r="L27" s="86"/>
      <c r="M27" s="86"/>
      <c r="N27" s="87"/>
      <c r="O27" s="56"/>
      <c r="P27" s="56"/>
      <c r="Q27" s="4"/>
      <c r="R27" s="4"/>
    </row>
    <row r="28" spans="1:99" s="5" customFormat="1" ht="15" customHeight="1">
      <c r="A28" s="1"/>
      <c r="B28" s="283"/>
      <c r="C28" s="254"/>
      <c r="D28" s="255"/>
      <c r="E28" s="256"/>
      <c r="F28" s="86"/>
      <c r="L28" s="86"/>
      <c r="M28" s="86"/>
      <c r="N28" s="87"/>
      <c r="O28" s="56"/>
      <c r="P28" s="56"/>
      <c r="Q28" s="14"/>
    </row>
    <row r="29" spans="1:99" ht="15" customHeight="1">
      <c r="A29" s="86"/>
      <c r="B29" s="90"/>
      <c r="C29" s="86"/>
      <c r="D29" s="86"/>
      <c r="E29" s="86"/>
      <c r="F29" s="86"/>
      <c r="G29" s="85"/>
      <c r="H29" s="86"/>
      <c r="I29" s="85"/>
      <c r="J29" s="86"/>
      <c r="K29" s="86"/>
      <c r="L29" s="86"/>
      <c r="M29" s="86"/>
      <c r="N29" s="87"/>
      <c r="Q29" s="4"/>
    </row>
    <row r="30" spans="1:99" ht="15" customHeight="1" thickBot="1">
      <c r="A30" s="120" t="str">
        <f>VLOOKUP("Filter:",Sprachindex!A:Z,Info!$O$6,FALSE)</f>
        <v>Filter:</v>
      </c>
      <c r="B30" s="284"/>
      <c r="C30" s="284"/>
      <c r="D30" s="284"/>
      <c r="E30" s="284"/>
      <c r="F30" s="86"/>
      <c r="G30" s="86"/>
      <c r="H30" s="86"/>
      <c r="I30" s="86"/>
      <c r="J30" s="86"/>
      <c r="K30" s="86"/>
      <c r="L30" s="86"/>
      <c r="M30" s="86"/>
      <c r="N30" s="87"/>
      <c r="P30" s="282" t="s">
        <v>24</v>
      </c>
      <c r="Q30" s="282"/>
      <c r="T30" s="1" t="s">
        <v>25</v>
      </c>
      <c r="AN30" s="1" t="s">
        <v>26</v>
      </c>
      <c r="BG30" s="1" t="s">
        <v>71</v>
      </c>
      <c r="BH30" s="1" t="s">
        <v>72</v>
      </c>
      <c r="BI30" s="1" t="s">
        <v>25</v>
      </c>
      <c r="CB30" s="1" t="s">
        <v>26</v>
      </c>
    </row>
    <row r="31" spans="1:99" ht="35.1" customHeight="1" thickBot="1">
      <c r="A31" s="219" t="str">
        <f>VLOOKUP("Menge",Sprachindex!A:Z,Info!$O$6,FALSE)</f>
        <v>Menge</v>
      </c>
      <c r="B31" s="141" t="str">
        <f>VLOOKUP("Einheit",Sprachindex!A:Z,Info!$O$6,FALSE)</f>
        <v>Einheit</v>
      </c>
      <c r="C31" s="141" t="str">
        <f>VLOOKUP("Abbildung",Sprachindex!A:Z,Info!$O$6,FALSE)</f>
        <v>Abbildung</v>
      </c>
      <c r="D31" s="141" t="str">
        <f>VLOOKUP("Artikel Nr.",Sprachindex!A:Z,Info!$O$6,FALSE)</f>
        <v>Artikel Nr.</v>
      </c>
      <c r="E31" s="285" t="str">
        <f>VLOOKUP("Bezeichnung",Sprachindex!A:Z,Info!$O$6,FALSE)</f>
        <v>Bezeichnung</v>
      </c>
      <c r="F31" s="286"/>
      <c r="G31" s="286"/>
      <c r="H31" s="286"/>
      <c r="I31" s="286"/>
      <c r="J31" s="286"/>
      <c r="K31" s="287"/>
      <c r="L31" s="141" t="str">
        <f>VLOOKUP("Total",Sprachindex!A:Z,Info!$O$6,FALSE)</f>
        <v>Total</v>
      </c>
      <c r="M31" s="91" t="str">
        <f>VLOOKUP("Eventual",Sprachindex!A:Z,Info!$O$6,FALSE)</f>
        <v>Eventual</v>
      </c>
      <c r="N31" s="87"/>
      <c r="O31" s="1"/>
      <c r="P31" s="212" t="s">
        <v>27</v>
      </c>
      <c r="Q31" s="212" t="s">
        <v>73</v>
      </c>
      <c r="T31" s="58" t="s">
        <v>74</v>
      </c>
      <c r="U31" s="59" t="s">
        <v>75</v>
      </c>
      <c r="V31" s="59" t="s">
        <v>76</v>
      </c>
      <c r="W31" s="59" t="s">
        <v>77</v>
      </c>
      <c r="X31" s="59" t="s">
        <v>78</v>
      </c>
      <c r="Y31" s="59" t="s">
        <v>79</v>
      </c>
      <c r="Z31" s="59" t="s">
        <v>80</v>
      </c>
      <c r="AA31" s="59" t="s">
        <v>81</v>
      </c>
      <c r="AB31" s="59" t="s">
        <v>82</v>
      </c>
      <c r="AC31" s="59" t="s">
        <v>83</v>
      </c>
      <c r="AD31" s="59" t="s">
        <v>84</v>
      </c>
      <c r="AE31" s="59" t="s">
        <v>48</v>
      </c>
      <c r="AF31" s="59" t="s">
        <v>85</v>
      </c>
      <c r="AG31" s="59" t="s">
        <v>86</v>
      </c>
      <c r="AH31" s="59" t="s">
        <v>87</v>
      </c>
      <c r="AI31" s="59" t="s">
        <v>88</v>
      </c>
      <c r="AJ31" s="60" t="s">
        <v>89</v>
      </c>
      <c r="AK31" s="60" t="s">
        <v>90</v>
      </c>
      <c r="AL31" s="60" t="s">
        <v>91</v>
      </c>
      <c r="AN31" s="61" t="s">
        <v>74</v>
      </c>
      <c r="AO31" s="62" t="s">
        <v>75</v>
      </c>
      <c r="AP31" s="62" t="s">
        <v>76</v>
      </c>
      <c r="AQ31" s="62" t="s">
        <v>77</v>
      </c>
      <c r="AR31" s="62" t="s">
        <v>78</v>
      </c>
      <c r="AS31" s="62" t="s">
        <v>79</v>
      </c>
      <c r="AT31" s="62" t="s">
        <v>80</v>
      </c>
      <c r="AU31" s="62" t="s">
        <v>81</v>
      </c>
      <c r="AV31" s="62" t="s">
        <v>82</v>
      </c>
      <c r="AW31" s="62" t="s">
        <v>83</v>
      </c>
      <c r="AX31" s="62" t="s">
        <v>84</v>
      </c>
      <c r="AY31" s="62" t="s">
        <v>48</v>
      </c>
      <c r="AZ31" s="62" t="s">
        <v>85</v>
      </c>
      <c r="BA31" s="62" t="s">
        <v>86</v>
      </c>
      <c r="BB31" s="62" t="s">
        <v>87</v>
      </c>
      <c r="BC31" s="62" t="s">
        <v>88</v>
      </c>
      <c r="BD31" s="62" t="s">
        <v>89</v>
      </c>
      <c r="BE31" s="62" t="s">
        <v>90</v>
      </c>
      <c r="BF31" s="63" t="s">
        <v>91</v>
      </c>
      <c r="BH31" s="58" t="s">
        <v>74</v>
      </c>
      <c r="BI31" s="59" t="s">
        <v>75</v>
      </c>
      <c r="BJ31" s="59" t="s">
        <v>76</v>
      </c>
      <c r="BK31" s="59" t="s">
        <v>77</v>
      </c>
      <c r="BL31" s="59" t="s">
        <v>78</v>
      </c>
      <c r="BM31" s="59" t="s">
        <v>79</v>
      </c>
      <c r="BN31" s="59" t="s">
        <v>80</v>
      </c>
      <c r="BO31" s="59" t="s">
        <v>81</v>
      </c>
      <c r="BP31" s="59" t="s">
        <v>82</v>
      </c>
      <c r="BQ31" s="59" t="s">
        <v>83</v>
      </c>
      <c r="BR31" s="59" t="s">
        <v>84</v>
      </c>
      <c r="BS31" s="59" t="s">
        <v>48</v>
      </c>
      <c r="BT31" s="59" t="s">
        <v>85</v>
      </c>
      <c r="BU31" s="59" t="s">
        <v>86</v>
      </c>
      <c r="BV31" s="59" t="s">
        <v>87</v>
      </c>
      <c r="BW31" s="59" t="s">
        <v>88</v>
      </c>
      <c r="BX31" s="60" t="s">
        <v>89</v>
      </c>
      <c r="BY31" s="60" t="s">
        <v>90</v>
      </c>
      <c r="BZ31" s="60" t="s">
        <v>91</v>
      </c>
      <c r="CB31" s="61" t="s">
        <v>74</v>
      </c>
      <c r="CC31" s="62" t="s">
        <v>75</v>
      </c>
      <c r="CD31" s="62" t="s">
        <v>76</v>
      </c>
      <c r="CE31" s="62" t="s">
        <v>77</v>
      </c>
      <c r="CF31" s="62" t="s">
        <v>78</v>
      </c>
      <c r="CG31" s="62" t="s">
        <v>79</v>
      </c>
      <c r="CH31" s="62" t="s">
        <v>80</v>
      </c>
      <c r="CI31" s="62" t="s">
        <v>81</v>
      </c>
      <c r="CJ31" s="62" t="s">
        <v>82</v>
      </c>
      <c r="CK31" s="62" t="s">
        <v>83</v>
      </c>
      <c r="CL31" s="62" t="s">
        <v>84</v>
      </c>
      <c r="CM31" s="62" t="s">
        <v>48</v>
      </c>
      <c r="CN31" s="62" t="s">
        <v>85</v>
      </c>
      <c r="CO31" s="62" t="s">
        <v>86</v>
      </c>
      <c r="CP31" s="62" t="s">
        <v>87</v>
      </c>
      <c r="CQ31" s="62" t="s">
        <v>88</v>
      </c>
      <c r="CR31" s="62" t="s">
        <v>89</v>
      </c>
      <c r="CS31" s="62" t="s">
        <v>90</v>
      </c>
      <c r="CT31" s="63" t="s">
        <v>91</v>
      </c>
    </row>
    <row r="32" spans="1:99" ht="32.1" customHeight="1">
      <c r="A32" s="122"/>
      <c r="B32" s="142" t="str">
        <f>VLOOKUP("kg",Sprachindex!A:Z,Info!$O$6,FALSE)</f>
        <v>kg</v>
      </c>
      <c r="C32" s="92"/>
      <c r="D32" s="95" t="str">
        <f>IF(AND($J32=Formeln!$A$285,$N$9=1),$BG32,IF(AND($J32=Formeln!$A$285,$N$9=2),$AM32,IF(AND($J32=Formeln!$A$286,$N$9=1),$CU32,IF(AND($J32=Formeln!$A$286,$N$9=2),$CA32,""))))</f>
        <v/>
      </c>
      <c r="E32" s="299" t="str">
        <f>VLOOKUP("PREFALZ 0,7x500",Sprachindex!A:Z,Info!$O$6,FALSE)</f>
        <v>PREFALZ 0,7x500</v>
      </c>
      <c r="F32" s="300"/>
      <c r="G32" s="300"/>
      <c r="H32" s="300"/>
      <c r="I32" s="300"/>
      <c r="J32" s="252"/>
      <c r="K32" s="267"/>
      <c r="L32" s="93" t="str">
        <f>IF(OR(A32="",$J$32=Formeln!$A$284),"",IF($N$11=1,P32,Q32))</f>
        <v/>
      </c>
      <c r="M32" s="94"/>
      <c r="N32" s="119" t="str">
        <f>IF(J32=Formeln!$A$285,1,IF(J32=Formeln!$A$286,2,""))</f>
        <v/>
      </c>
      <c r="O32" s="1"/>
      <c r="P32" s="207" t="e">
        <f>ROUNDUP($A32/IF($N32=1,60,IF($N32=2,500,"")),0)*IF($N32=1,60,IF($N32=2,500,""))&amp;" "&amp;Formeln!$A$114&amp;"             "&amp;"(="&amp;ROUNDUP($A32/IF($N32=1,60,IF($N32=2,500,"")),0)&amp;" "&amp;R32&amp;")"</f>
        <v>#VALUE!</v>
      </c>
      <c r="Q32" s="207" t="e">
        <f>ROUNDUP($A32,0) &amp; " " &amp; Formeln!$A$114 &amp; "    " &amp; "(="&amp;ROUNDUP($A32/IF($N32=1,60,IF($N32=2,500,"")),1) &amp; " " &amp;R32&amp; ")"</f>
        <v>#VALUE!</v>
      </c>
      <c r="R32" s="8" t="b">
        <f>IF(J32=Formeln!$A$285,IF(A32&gt;60, Formeln!$A$116, Formeln!$A$115),IF(J32=Formeln!$A$286,IF(A32&gt;500, Formeln!$A$116, Formeln!$A$115)))</f>
        <v>0</v>
      </c>
      <c r="T32" s="64" t="s">
        <v>92</v>
      </c>
      <c r="U32" s="64" t="s">
        <v>93</v>
      </c>
      <c r="V32" s="64" t="s">
        <v>94</v>
      </c>
      <c r="W32" s="64" t="s">
        <v>95</v>
      </c>
      <c r="X32" s="64" t="s">
        <v>96</v>
      </c>
      <c r="Y32" s="64" t="s">
        <v>97</v>
      </c>
      <c r="Z32" s="64" t="s">
        <v>98</v>
      </c>
      <c r="AA32" s="64" t="s">
        <v>99</v>
      </c>
      <c r="AB32" s="64" t="s">
        <v>100</v>
      </c>
      <c r="AC32" s="64" t="s">
        <v>101</v>
      </c>
      <c r="AD32" s="64" t="s">
        <v>102</v>
      </c>
      <c r="AE32" s="64" t="s">
        <v>103</v>
      </c>
      <c r="AF32" s="64" t="s">
        <v>104</v>
      </c>
      <c r="AG32" s="64" t="s">
        <v>105</v>
      </c>
      <c r="AH32" s="64" t="s">
        <v>106</v>
      </c>
      <c r="AI32" s="64" t="s">
        <v>107</v>
      </c>
      <c r="AJ32" s="64" t="s">
        <v>108</v>
      </c>
      <c r="AK32" s="64" t="s">
        <v>109</v>
      </c>
      <c r="AL32" s="64" t="s">
        <v>110</v>
      </c>
      <c r="AM32" s="65">
        <f>IF($N$21=1,T32,IF($N$21=2,U32,IF($N$21=3,V32,IF($N$21=4,W32,IF($N$21=5,X32,IF($N$21=6,Y32,IF($N$21=7,Z32,IF($N$21=8,AA32,IF($N$21=9,AB32,IF($N$21=10,AC32,IF($N$21=11,AD32,IF($N$21=12,AE32,IF($N$21=13,AF32,IF($N$21=14,AG32,IF($N$21=15,AH32,IF($N$21=16,AI32,IF($N$21=17,AJ32,IF($N$21=18,AK32,IF($N$21=19,AL32,0)))))))))))))))))))</f>
        <v>0</v>
      </c>
      <c r="AN32" s="64" t="s">
        <v>111</v>
      </c>
      <c r="AO32" s="64" t="s">
        <v>112</v>
      </c>
      <c r="AP32" s="64" t="s">
        <v>113</v>
      </c>
      <c r="AQ32" s="64" t="s">
        <v>114</v>
      </c>
      <c r="AR32" s="64" t="s">
        <v>115</v>
      </c>
      <c r="AS32" s="64" t="s">
        <v>116</v>
      </c>
      <c r="AT32" s="64" t="s">
        <v>117</v>
      </c>
      <c r="AU32" s="64" t="s">
        <v>118</v>
      </c>
      <c r="AV32" s="64" t="s">
        <v>119</v>
      </c>
      <c r="AW32" s="64" t="s">
        <v>120</v>
      </c>
      <c r="AX32" s="64" t="s">
        <v>121</v>
      </c>
      <c r="AY32" s="64" t="s">
        <v>122</v>
      </c>
      <c r="AZ32" s="64" t="s">
        <v>123</v>
      </c>
      <c r="BA32" s="64" t="s">
        <v>124</v>
      </c>
      <c r="BB32" s="82"/>
      <c r="BC32" s="82"/>
      <c r="BD32" s="82"/>
      <c r="BE32" s="82" t="s">
        <v>125</v>
      </c>
      <c r="BF32" s="82" t="s">
        <v>126</v>
      </c>
      <c r="BG32" s="65">
        <f>IF($N$21=1,AN32,IF($N$21=2,AO32,IF($N$21=3,AP32,IF($N$21=4,AQ32,IF($N$21=5,AR32,IF($N$21=6,AS32,IF($N$21=7,AT32,IF($N$21=8,AU32,IF($N$21=9,AV32,IF($N$21=10,AW32,IF($N$21=11,AX32,IF($N$21=12,AY32,IF($N$21=13,AZ32,IF($N$21=14,BA32,IF($N$21=15,BB32,IF($N$21=16,BC32,IF($N$21=17,BD32,IF($N$21=18,BE32,IF($N$21=19,BF32,0)))))))))))))))))))</f>
        <v>0</v>
      </c>
      <c r="BH32" s="64" t="s">
        <v>127</v>
      </c>
      <c r="BI32" s="64" t="s">
        <v>128</v>
      </c>
      <c r="BJ32" s="64" t="s">
        <v>129</v>
      </c>
      <c r="BK32" s="64" t="s">
        <v>130</v>
      </c>
      <c r="BL32" s="64" t="s">
        <v>131</v>
      </c>
      <c r="BM32" s="64" t="s">
        <v>132</v>
      </c>
      <c r="BN32" s="64" t="s">
        <v>133</v>
      </c>
      <c r="BO32" s="64" t="s">
        <v>134</v>
      </c>
      <c r="BP32" s="64" t="s">
        <v>135</v>
      </c>
      <c r="BQ32" s="64" t="s">
        <v>136</v>
      </c>
      <c r="BR32" s="64" t="s">
        <v>137</v>
      </c>
      <c r="BS32" s="64" t="s">
        <v>138</v>
      </c>
      <c r="BT32" s="64" t="s">
        <v>139</v>
      </c>
      <c r="BU32" s="64" t="s">
        <v>140</v>
      </c>
      <c r="BV32" s="64" t="s">
        <v>141</v>
      </c>
      <c r="BW32" s="64" t="s">
        <v>142</v>
      </c>
      <c r="BX32" s="64" t="s">
        <v>143</v>
      </c>
      <c r="BY32" s="64" t="s">
        <v>144</v>
      </c>
      <c r="BZ32" s="64" t="s">
        <v>145</v>
      </c>
      <c r="CA32" s="65">
        <f>IF($N$21=1,BH32,IF($N$21=2,BI32,IF($N$21=3,BJ32,IF($N$21=4,BK32,IF($N$21=5,BL32,IF($N$21=6,BM32,IF($N$21=7,BN32,IF($N$21=8,BO32,IF($N$21=9,BP32,IF($N$21=10,BQ32,IF($N$21=11,BR32,IF($N$21=12,BS32,IF($N$21=13,BT32,IF($N$21=14,BU32,IF($N$21=15,BV32,IF($N$21=16,BW32,IF($N$21=17,BX32,IF($N$21=18,BY32,IF($N$21=19,BZ32,0)))))))))))))))))))</f>
        <v>0</v>
      </c>
      <c r="CB32" s="64" t="s">
        <v>146</v>
      </c>
      <c r="CC32" s="64" t="s">
        <v>147</v>
      </c>
      <c r="CD32" s="64" t="s">
        <v>148</v>
      </c>
      <c r="CE32" s="64" t="s">
        <v>149</v>
      </c>
      <c r="CF32" s="64" t="s">
        <v>150</v>
      </c>
      <c r="CG32" s="64" t="s">
        <v>116</v>
      </c>
      <c r="CH32" s="64" t="s">
        <v>151</v>
      </c>
      <c r="CI32" s="64" t="s">
        <v>152</v>
      </c>
      <c r="CJ32" s="64" t="s">
        <v>153</v>
      </c>
      <c r="CK32" s="64" t="s">
        <v>154</v>
      </c>
      <c r="CL32" s="64" t="s">
        <v>155</v>
      </c>
      <c r="CM32" s="64" t="s">
        <v>156</v>
      </c>
      <c r="CN32" s="64" t="s">
        <v>157</v>
      </c>
      <c r="CO32" s="64" t="s">
        <v>158</v>
      </c>
      <c r="CP32" s="82"/>
      <c r="CQ32" s="82"/>
      <c r="CR32" s="82"/>
      <c r="CS32" s="82" t="s">
        <v>159</v>
      </c>
      <c r="CT32" s="82" t="s">
        <v>160</v>
      </c>
      <c r="CU32" s="65">
        <f>IF($N$21=1,CB32,IF($N$21=2,CC32,IF($N$21=3,CD32,IF($N$21=4,CE32,IF($N$21=5,CF32,IF($N$21=6,CG32,IF($N$21=7,CH32,IF($N$21=8,CI32,IF($N$21=9,CJ32,IF($N$21=10,CK32,IF($N$21=11,CL32,IF($N$21=12,CM32,IF($N$21=13,CN32,IF($N$21=14,CO32,IF($N$21=15,CP32,IF($N$21=16,CQ32,IF($N$21=17,CR32,IF($N$21=18,CS32,IF($N$21=19,CT32,0)))))))))))))))))))</f>
        <v>0</v>
      </c>
    </row>
    <row r="33" spans="1:99" ht="32.1" customHeight="1">
      <c r="A33" s="118"/>
      <c r="B33" s="143" t="str">
        <f>VLOOKUP("kg",Sprachindex!A:Z,Info!$O$6,FALSE)</f>
        <v>kg</v>
      </c>
      <c r="C33" s="129"/>
      <c r="D33" s="95" t="str">
        <f>IF(AND($J33=Formeln!$A$285,$N$9=1),$BG33,IF(AND($J33=Formeln!$A$285,$N$9=2),$AM33,IF(AND($J33=Formeln!$A$286,$N$9=1),$CU33,IF(AND($J33=Formeln!$A$286,$N$9=2),$CA33,""))))</f>
        <v/>
      </c>
      <c r="E33" s="258" t="str">
        <f>VLOOKUP("PREFALZ 0,7x650",Sprachindex!A:Z,Info!$O$6,FALSE)</f>
        <v>PREFALZ 0,7x650</v>
      </c>
      <c r="F33" s="259"/>
      <c r="G33" s="259"/>
      <c r="H33" s="259"/>
      <c r="I33" s="259"/>
      <c r="J33" s="252"/>
      <c r="K33" s="267"/>
      <c r="L33" s="221" t="str">
        <f>IF(OR(A33="",$J$33=Formeln!$A$284),"",IF($N$11=1,P33,Q33))</f>
        <v/>
      </c>
      <c r="M33" s="130"/>
      <c r="N33" s="119" t="str">
        <f>IF(J33=Formeln!$A$285,1,IF(J33=Formeln!$A$286,2,""))</f>
        <v/>
      </c>
      <c r="O33" s="1"/>
      <c r="P33" s="191" t="e">
        <f>ROUNDUP($A33/IF($N33=1,60,IF($N33=2,500,"")),0)*IF($N33=1,60,IF($N33=2,500,""))&amp;" "&amp;Formeln!$A$114&amp;"             "&amp;"(="&amp;ROUNDUP($A33/IF($N33=1,60,IF($N33=2,500,"")),0)&amp;" "&amp;R33&amp;")"</f>
        <v>#VALUE!</v>
      </c>
      <c r="Q33" s="191" t="e">
        <f>ROUNDUP($A33,0) &amp; " " &amp; Formeln!$A$114 &amp; "             " &amp; "(="&amp;ROUNDUP($A33/IF($N33=1,60,IF($N33=2,500,"")),0) &amp; " " &amp;R33&amp; ")"</f>
        <v>#VALUE!</v>
      </c>
      <c r="R33" s="8" t="b">
        <f>IF(J33=Formeln!$A$285,IF(A33&gt;60, Formeln!$A$116, Formeln!$A$115),IF(J33=Formeln!$A$286,IF(A33&gt;500, Formeln!$A$116, Formeln!$A$115)))</f>
        <v>0</v>
      </c>
      <c r="T33" s="64" t="s">
        <v>161</v>
      </c>
      <c r="U33" s="64" t="s">
        <v>162</v>
      </c>
      <c r="V33" s="64" t="s">
        <v>163</v>
      </c>
      <c r="W33" s="64" t="s">
        <v>164</v>
      </c>
      <c r="X33" s="64" t="s">
        <v>165</v>
      </c>
      <c r="Y33" s="64" t="s">
        <v>166</v>
      </c>
      <c r="Z33" s="64" t="s">
        <v>167</v>
      </c>
      <c r="AA33" s="64" t="s">
        <v>168</v>
      </c>
      <c r="AB33" s="64" t="s">
        <v>169</v>
      </c>
      <c r="AC33" s="64" t="s">
        <v>170</v>
      </c>
      <c r="AD33" s="64" t="s">
        <v>171</v>
      </c>
      <c r="AE33" s="64" t="s">
        <v>172</v>
      </c>
      <c r="AF33" s="64" t="s">
        <v>173</v>
      </c>
      <c r="AG33" s="64" t="s">
        <v>174</v>
      </c>
      <c r="AH33" s="82"/>
      <c r="AI33" s="64" t="s">
        <v>175</v>
      </c>
      <c r="AJ33" s="64" t="s">
        <v>176</v>
      </c>
      <c r="AK33" s="64" t="s">
        <v>177</v>
      </c>
      <c r="AL33" s="64" t="s">
        <v>178</v>
      </c>
      <c r="AM33" s="65">
        <f>IF($N$21=1,T33,IF($N$21=2,U33,IF($N$21=3,V33,IF($N$21=4,W33,IF($N$21=5,X33,IF($N$21=6,Y33,IF($N$21=7,Z33,IF($N$21=8,AA33,IF($N$21=9,AB33,IF($N$21=10,AC33,IF($N$21=11,AD33,IF($N$21=12,AE33,IF($N$21=13,AF33,IF($N$21=14,AG33,IF($N$21=15,AH33,IF($N$21=16,AI33,IF($N$21=17,AJ33,IF($N$21=18,AK33,IF($N$21=19,AL33,0)))))))))))))))))))</f>
        <v>0</v>
      </c>
      <c r="AN33" s="64" t="s">
        <v>179</v>
      </c>
      <c r="AO33" s="64" t="s">
        <v>180</v>
      </c>
      <c r="AP33" s="64" t="s">
        <v>181</v>
      </c>
      <c r="AQ33" s="64" t="s">
        <v>182</v>
      </c>
      <c r="AR33" s="64" t="s">
        <v>183</v>
      </c>
      <c r="AS33" s="64" t="s">
        <v>184</v>
      </c>
      <c r="AT33" s="64" t="s">
        <v>185</v>
      </c>
      <c r="AU33" s="64" t="s">
        <v>186</v>
      </c>
      <c r="AV33" s="64" t="s">
        <v>187</v>
      </c>
      <c r="AW33" s="64" t="s">
        <v>188</v>
      </c>
      <c r="AX33" s="64" t="s">
        <v>189</v>
      </c>
      <c r="AY33" s="64" t="s">
        <v>190</v>
      </c>
      <c r="AZ33" s="64" t="s">
        <v>191</v>
      </c>
      <c r="BA33" s="64" t="s">
        <v>192</v>
      </c>
      <c r="BB33" s="82"/>
      <c r="BC33" s="82"/>
      <c r="BD33" s="82"/>
      <c r="BE33" s="82" t="s">
        <v>193</v>
      </c>
      <c r="BF33" s="82" t="s">
        <v>194</v>
      </c>
      <c r="BG33" s="65">
        <f>IF($N$21=1,AN33,IF($N$21=2,AO33,IF($N$21=3,AP33,IF($N$21=4,AQ33,IF($N$21=5,AR33,IF($N$21=6,AS33,IF($N$21=7,AT33,IF($N$21=8,AU33,IF($N$21=9,AV33,IF($N$21=10,AW33,IF($N$21=11,AX33,IF($N$21=12,AY33,IF($N$21=13,AZ33,IF($N$21=14,BA33,IF($N$21=15,BB33,IF($N$21=16,BC33,IF($N$21=17,BD33,IF($N$21=18,BE33,IF($N$21=19,BF33,0)))))))))))))))))))</f>
        <v>0</v>
      </c>
      <c r="BH33" s="64" t="s">
        <v>195</v>
      </c>
      <c r="BI33" s="64" t="s">
        <v>196</v>
      </c>
      <c r="BJ33" s="64" t="s">
        <v>197</v>
      </c>
      <c r="BK33" s="64" t="s">
        <v>198</v>
      </c>
      <c r="BL33" s="64" t="s">
        <v>199</v>
      </c>
      <c r="BM33" s="64" t="s">
        <v>200</v>
      </c>
      <c r="BN33" s="64" t="s">
        <v>201</v>
      </c>
      <c r="BO33" s="64" t="s">
        <v>202</v>
      </c>
      <c r="BP33" s="64" t="s">
        <v>203</v>
      </c>
      <c r="BQ33" s="64" t="s">
        <v>204</v>
      </c>
      <c r="BR33" s="64" t="s">
        <v>205</v>
      </c>
      <c r="BS33" s="64" t="s">
        <v>206</v>
      </c>
      <c r="BT33" s="64" t="s">
        <v>207</v>
      </c>
      <c r="BU33" s="64" t="s">
        <v>208</v>
      </c>
      <c r="BV33" s="82"/>
      <c r="BW33" s="64" t="s">
        <v>209</v>
      </c>
      <c r="BX33" s="64" t="s">
        <v>210</v>
      </c>
      <c r="BY33" s="64" t="s">
        <v>211</v>
      </c>
      <c r="BZ33" s="64" t="s">
        <v>212</v>
      </c>
      <c r="CA33" s="65">
        <f>IF($N$21=1,BH33,IF($N$21=2,BI33,IF($N$21=3,BJ33,IF($N$21=4,BK33,IF($N$21=5,BL33,IF($N$21=6,BM33,IF($N$21=7,BN33,IF($N$21=8,BO33,IF($N$21=9,BP33,IF($N$21=10,BQ33,IF($N$21=11,BR33,IF($N$21=12,BS33,IF($N$21=13,BT33,IF($N$21=14,BU33,IF($N$21=15,BV33,IF($N$21=16,BW33,IF($N$21=17,BX33,IF($N$21=18,BY33,IF($N$21=19,BZ33,0)))))))))))))))))))</f>
        <v>0</v>
      </c>
      <c r="CB33" s="64" t="s">
        <v>213</v>
      </c>
      <c r="CC33" s="64" t="s">
        <v>214</v>
      </c>
      <c r="CD33" s="64" t="s">
        <v>215</v>
      </c>
      <c r="CE33" s="64" t="s">
        <v>216</v>
      </c>
      <c r="CF33" s="64" t="s">
        <v>217</v>
      </c>
      <c r="CG33" s="64" t="s">
        <v>218</v>
      </c>
      <c r="CH33" s="64" t="s">
        <v>219</v>
      </c>
      <c r="CI33" s="64" t="s">
        <v>220</v>
      </c>
      <c r="CJ33" s="64" t="s">
        <v>221</v>
      </c>
      <c r="CK33" s="64" t="s">
        <v>222</v>
      </c>
      <c r="CL33" s="64" t="s">
        <v>223</v>
      </c>
      <c r="CM33" s="64" t="s">
        <v>224</v>
      </c>
      <c r="CN33" s="64" t="s">
        <v>225</v>
      </c>
      <c r="CO33" s="64" t="s">
        <v>226</v>
      </c>
      <c r="CP33" s="82"/>
      <c r="CQ33" s="82"/>
      <c r="CR33" s="82"/>
      <c r="CS33" s="82" t="s">
        <v>227</v>
      </c>
      <c r="CT33" s="82" t="s">
        <v>228</v>
      </c>
      <c r="CU33" s="65">
        <f>IF($N$21=1,CB33,IF($N$21=2,CC33,IF($N$21=3,CD33,IF($N$21=4,CE33,IF($N$21=5,CF33,IF($N$21=6,CG33,IF($N$21=7,CH33,IF($N$21=8,CI33,IF($N$21=9,CJ33,IF($N$21=10,CK33,IF($N$21=11,CL33,IF($N$21=12,CM33,IF($N$21=13,CN33,IF($N$21=14,CO33,IF($N$21=15,CP33,IF($N$21=16,CQ33,IF($N$21=17,CR33,IF($N$21=18,CS33,IF($N$21=19,CT33,0)))))))))))))))))))</f>
        <v>0</v>
      </c>
    </row>
    <row r="34" spans="1:99" ht="32.1" customHeight="1">
      <c r="A34" s="118"/>
      <c r="B34" s="143" t="str">
        <f>VLOOKUP("kg",Sprachindex!A:Z,Info!$O$6,FALSE)</f>
        <v>kg</v>
      </c>
      <c r="C34" s="129"/>
      <c r="D34" s="95" t="str">
        <f>IF(AND($J34=Formeln!$A$285,$N$9=1),$BG34,IF(AND($J34=Formeln!$A$285,$N$9=2),$AM34,IF(AND($J34=Formeln!$A$286,$N$9=1),$CU34,IF(AND($J34=Formeln!$A$286,$N$9=2),$CA34,""))))</f>
        <v/>
      </c>
      <c r="E34" s="258" t="str">
        <f>VLOOKUP("PREFALZ 0,7x1000 (für Zusatzverblechungen)",Sprachindex!A:Z,Info!$O$6,FALSE)</f>
        <v>PREFALZ 0,7x1000 (für Zusatzverblechungen)</v>
      </c>
      <c r="F34" s="259"/>
      <c r="G34" s="259"/>
      <c r="H34" s="259"/>
      <c r="I34" s="259"/>
      <c r="J34" s="252"/>
      <c r="K34" s="267"/>
      <c r="L34" s="96" t="str">
        <f>IF(OR(A34="",$J$34=Formeln!$A$284),"",IF($N$11=1,P34,Q34))</f>
        <v/>
      </c>
      <c r="M34" s="130"/>
      <c r="N34" s="119" t="str">
        <f>IF(J34=Formeln!$A$285,1,IF(J34=Formeln!$A$286,2,""))</f>
        <v/>
      </c>
      <c r="O34" s="1"/>
      <c r="P34" s="191" t="e">
        <f>ROUNDUP($A34/IF($N34=1,60,IF($N34=2,500,"")),0)*IF($N34=1,60,IF($N34=2,500,""))&amp;" "&amp;Formeln!$A$114&amp;"             "&amp;"(="&amp;ROUNDUP($A34/IF($N34=1,60,IF($N34=2,500,0)),0)&amp;" "&amp;R34&amp;")"</f>
        <v>#VALUE!</v>
      </c>
      <c r="Q34" s="191" t="e">
        <f>ROUNDUP($A34,0) &amp; " " &amp; Formeln!$A$114 &amp; "             " &amp; "(="&amp;ROUNDUP($A34/IF($N34=1,60,IF($N34=2,500,"")),1) &amp; " " &amp;R34&amp; ")"</f>
        <v>#VALUE!</v>
      </c>
      <c r="R34" s="8" t="b">
        <f>IF(J34=Formeln!$A$285,IF(A34&gt;60, Formeln!$A$116, Formeln!$A$115),IF(J34=Formeln!$A$286,IF(A34&gt;500, Formeln!$A$116, Formeln!$A$115)))</f>
        <v>0</v>
      </c>
      <c r="T34" s="64" t="s">
        <v>229</v>
      </c>
      <c r="U34" s="64" t="s">
        <v>230</v>
      </c>
      <c r="V34" s="64" t="s">
        <v>231</v>
      </c>
      <c r="W34" s="64" t="s">
        <v>232</v>
      </c>
      <c r="X34" s="64" t="s">
        <v>233</v>
      </c>
      <c r="Y34" s="64" t="s">
        <v>234</v>
      </c>
      <c r="Z34" s="64" t="s">
        <v>235</v>
      </c>
      <c r="AA34" s="64" t="s">
        <v>236</v>
      </c>
      <c r="AB34" s="64" t="s">
        <v>237</v>
      </c>
      <c r="AC34" s="64" t="s">
        <v>238</v>
      </c>
      <c r="AD34" s="64" t="s">
        <v>239</v>
      </c>
      <c r="AE34" s="64" t="s">
        <v>240</v>
      </c>
      <c r="AF34" s="64" t="s">
        <v>241</v>
      </c>
      <c r="AG34" s="64" t="s">
        <v>242</v>
      </c>
      <c r="AH34" s="64" t="s">
        <v>243</v>
      </c>
      <c r="AI34" s="64" t="s">
        <v>244</v>
      </c>
      <c r="AJ34" s="64" t="s">
        <v>245</v>
      </c>
      <c r="AK34" s="64" t="s">
        <v>246</v>
      </c>
      <c r="AL34" s="64" t="s">
        <v>60</v>
      </c>
      <c r="AM34" s="65">
        <f>IF($N$21=1,T34,IF($N$21=2,U34,IF($N$21=3,V34,IF($N$21=4,W34,IF($N$21=5,X34,IF($N$21=6,Y34,IF($N$21=7,Z34,IF($N$21=8,AA34,IF($N$21=9,AB34,IF($N$21=10,AC34,IF($N$21=11,AD34,IF($N$21=12,AE34,IF($N$21=13,AF34,IF($N$21=14,AG34,IF($N$21=15,AH34,IF($N$21=16,AI34,IF($N$21=17,AJ34,IF($N$21=18,AK34,IF($N$21=19,AL34,0)))))))))))))))))))</f>
        <v>0</v>
      </c>
      <c r="AN34" s="64" t="s">
        <v>247</v>
      </c>
      <c r="AO34" s="64" t="s">
        <v>248</v>
      </c>
      <c r="AP34" s="64" t="s">
        <v>249</v>
      </c>
      <c r="AQ34" s="64" t="s">
        <v>250</v>
      </c>
      <c r="AR34" s="64" t="s">
        <v>251</v>
      </c>
      <c r="AS34" s="64" t="s">
        <v>252</v>
      </c>
      <c r="AT34" s="64" t="s">
        <v>253</v>
      </c>
      <c r="AU34" s="64" t="s">
        <v>254</v>
      </c>
      <c r="AV34" s="64" t="s">
        <v>255</v>
      </c>
      <c r="AW34" s="64" t="s">
        <v>256</v>
      </c>
      <c r="AX34" s="64" t="s">
        <v>257</v>
      </c>
      <c r="AY34" s="64" t="s">
        <v>258</v>
      </c>
      <c r="AZ34" s="64" t="s">
        <v>259</v>
      </c>
      <c r="BA34" s="64" t="s">
        <v>260</v>
      </c>
      <c r="BB34" s="82"/>
      <c r="BC34" s="82"/>
      <c r="BD34" s="82"/>
      <c r="BE34" s="82" t="s">
        <v>261</v>
      </c>
      <c r="BF34" s="82" t="s">
        <v>70</v>
      </c>
      <c r="BG34" s="65">
        <f>IF($N$21=1,AN34,IF($N$21=2,AO34,IF($N$21=3,AP34,IF($N$21=4,AQ34,IF($N$21=5,AR34,IF($N$21=6,AS34,IF($N$21=7,AT34,IF($N$21=8,AU34,IF($N$21=9,AV34,IF($N$21=10,AW34,IF($N$21=11,AX34,IF($N$21=12,AY34,IF($N$21=13,AZ34,IF($N$21=14,BA34,IF($N$21=15,BB34,IF($N$21=16,BC34,IF($N$21=17,BD34,IF($N$21=18,BE34,IF($N$21=19,BF34,0)))))))))))))))))))</f>
        <v>0</v>
      </c>
      <c r="BH34" s="64" t="s">
        <v>262</v>
      </c>
      <c r="BI34" s="64" t="s">
        <v>263</v>
      </c>
      <c r="BJ34" s="64" t="s">
        <v>264</v>
      </c>
      <c r="BK34" s="64" t="s">
        <v>265</v>
      </c>
      <c r="BL34" s="64" t="s">
        <v>266</v>
      </c>
      <c r="BM34" s="64" t="s">
        <v>267</v>
      </c>
      <c r="BN34" s="64" t="s">
        <v>268</v>
      </c>
      <c r="BO34" s="64" t="s">
        <v>269</v>
      </c>
      <c r="BP34" s="64" t="s">
        <v>270</v>
      </c>
      <c r="BQ34" s="64" t="s">
        <v>271</v>
      </c>
      <c r="BR34" s="64" t="s">
        <v>272</v>
      </c>
      <c r="BS34" s="64" t="s">
        <v>273</v>
      </c>
      <c r="BT34" s="64" t="s">
        <v>274</v>
      </c>
      <c r="BU34" s="64" t="s">
        <v>275</v>
      </c>
      <c r="BV34" s="64" t="s">
        <v>276</v>
      </c>
      <c r="BW34" s="64" t="s">
        <v>277</v>
      </c>
      <c r="BX34" s="64" t="s">
        <v>278</v>
      </c>
      <c r="BY34" s="64" t="s">
        <v>279</v>
      </c>
      <c r="BZ34" s="64" t="s">
        <v>280</v>
      </c>
      <c r="CA34" s="65">
        <f>IF($N$21=1,BH34,IF($N$21=2,BI34,IF($N$21=3,BJ34,IF($N$21=4,BK34,IF($N$21=5,BL34,IF($N$21=6,BM34,IF($N$21=7,BN34,IF($N$21=8,BO34,IF($N$21=9,BP34,IF($N$21=10,BQ34,IF($N$21=11,BR34,IF($N$21=12,BS34,IF($N$21=13,BT34,IF($N$21=14,BU34,IF($N$21=15,BV34,IF($N$21=16,BW34,IF($N$21=17,BX34,IF($N$21=18,BY34,IF($N$21=19,BZ34,0)))))))))))))))))))</f>
        <v>0</v>
      </c>
      <c r="CB34" s="64" t="s">
        <v>281</v>
      </c>
      <c r="CC34" s="64" t="s">
        <v>282</v>
      </c>
      <c r="CD34" s="64" t="s">
        <v>283</v>
      </c>
      <c r="CE34" s="64" t="s">
        <v>284</v>
      </c>
      <c r="CF34" s="64" t="s">
        <v>285</v>
      </c>
      <c r="CG34" s="64" t="s">
        <v>286</v>
      </c>
      <c r="CH34" s="64" t="s">
        <v>287</v>
      </c>
      <c r="CI34" s="64" t="s">
        <v>288</v>
      </c>
      <c r="CJ34" s="64" t="s">
        <v>289</v>
      </c>
      <c r="CK34" s="64" t="s">
        <v>290</v>
      </c>
      <c r="CL34" s="64" t="s">
        <v>291</v>
      </c>
      <c r="CM34" s="64"/>
      <c r="CN34" s="64" t="s">
        <v>292</v>
      </c>
      <c r="CO34" s="64" t="s">
        <v>293</v>
      </c>
      <c r="CP34" s="82"/>
      <c r="CQ34" s="82"/>
      <c r="CR34" s="82"/>
      <c r="CS34" s="82" t="s">
        <v>294</v>
      </c>
      <c r="CT34" s="82" t="s">
        <v>295</v>
      </c>
      <c r="CU34" s="65">
        <f>IF($N$21=1,CB34,IF($N$21=2,CC34,IF($N$21=3,CD34,IF($N$21=4,CE34,IF($N$21=5,CF34,IF($N$21=6,CG34,IF($N$21=7,CH34,IF($N$21=8,CI34,IF($N$21=9,CJ34,IF($N$21=10,CK34,IF($N$21=11,CL34,IF($N$21=12,CM34,IF($N$21=13,CN34,IF($N$21=14,CO34,IF($N$21=15,CP34,IF($N$21=16,CQ34,IF($N$21=17,CR34,IF($N$21=18,CS34,IF($N$21=19,CT34,0)))))))))))))))))))</f>
        <v>0</v>
      </c>
    </row>
    <row r="35" spans="1:99" ht="32.1" customHeight="1">
      <c r="A35" s="118"/>
      <c r="B35" s="96" t="str">
        <f>VLOOKUP("STK",Sprachindex!A:Z,Info!$O$6,FALSE)</f>
        <v>STK</v>
      </c>
      <c r="C35" s="95"/>
      <c r="D35" s="95">
        <v>534004</v>
      </c>
      <c r="E35" s="250" t="str">
        <f>VLOOKUP("Winkel-Stehfalzhafter, NIRO ",Sprachindex!A:Z,Info!$O$6,FALSE)</f>
        <v xml:space="preserve">Winkel-Stehfalzhafter, NIRO </v>
      </c>
      <c r="F35" s="251"/>
      <c r="G35" s="251"/>
      <c r="H35" s="251"/>
      <c r="I35" s="251"/>
      <c r="J35" s="251"/>
      <c r="K35" s="257"/>
      <c r="L35" s="96" t="str">
        <f t="shared" ref="L35:L75" si="0">IF(A35=0,"",IF($N$11=1,P35,Q35))</f>
        <v/>
      </c>
      <c r="M35" s="130"/>
      <c r="N35" s="87"/>
      <c r="O35" s="1"/>
      <c r="P35" s="191" t="str">
        <f>ROUNDUP($A35/500,0)*500 &amp; " " &amp; Formeln!$A$111</f>
        <v>0 STK</v>
      </c>
      <c r="Q35" s="191" t="str">
        <f>ROUNDUP($A35,0) &amp;" " &amp; Formeln!$A$111</f>
        <v>0 STK</v>
      </c>
    </row>
    <row r="36" spans="1:99" ht="32.1" customHeight="1">
      <c r="A36" s="118"/>
      <c r="B36" s="96" t="str">
        <f>VLOOKUP("STK",Sprachindex!A:Z,Info!$O$6,FALSE)</f>
        <v>STK</v>
      </c>
      <c r="C36" s="95"/>
      <c r="D36" s="95">
        <v>535004</v>
      </c>
      <c r="E36" s="250" t="str">
        <f>VLOOKUP("Winkel-Schiebehafter, NIRO ",Sprachindex!A:Z,Info!$O$6,FALSE)</f>
        <v xml:space="preserve">Winkel-Schiebehafter, NIRO </v>
      </c>
      <c r="F36" s="251"/>
      <c r="G36" s="251"/>
      <c r="H36" s="251"/>
      <c r="I36" s="251"/>
      <c r="J36" s="251"/>
      <c r="K36" s="257"/>
      <c r="L36" s="96" t="str">
        <f t="shared" si="0"/>
        <v/>
      </c>
      <c r="M36" s="130"/>
      <c r="N36" s="87"/>
      <c r="O36" s="1"/>
      <c r="P36" s="191" t="str">
        <f>ROUNDUP($A36/500,0)*500 &amp; " " &amp; Formeln!$A$111</f>
        <v>0 STK</v>
      </c>
      <c r="Q36" s="191" t="str">
        <f>ROUNDUP($A36,0) &amp;" " &amp; Formeln!$A$111</f>
        <v>0 STK</v>
      </c>
    </row>
    <row r="37" spans="1:99" ht="32.1" customHeight="1">
      <c r="A37" s="118"/>
      <c r="B37" s="96" t="str">
        <f>VLOOKUP("STK",Sprachindex!A:Z,Info!$O$6,FALSE)</f>
        <v>STK</v>
      </c>
      <c r="C37" s="95"/>
      <c r="D37" s="95">
        <v>535005</v>
      </c>
      <c r="E37" s="250" t="str">
        <f>VLOOKUP("Winkel-Langschiebhafter, NIRO ",Sprachindex!A:Z,Info!$O$6,FALSE)</f>
        <v xml:space="preserve">Winkel-Langschiebhafter, NIRO </v>
      </c>
      <c r="F37" s="251"/>
      <c r="G37" s="251"/>
      <c r="H37" s="251"/>
      <c r="I37" s="251"/>
      <c r="J37" s="251"/>
      <c r="K37" s="257"/>
      <c r="L37" s="96" t="str">
        <f t="shared" si="0"/>
        <v/>
      </c>
      <c r="M37" s="130"/>
      <c r="N37" s="87"/>
      <c r="O37" s="1"/>
      <c r="P37" s="191" t="str">
        <f>ROUNDUP($A37/500,0)*500 &amp; " " &amp; Formeln!$A$111</f>
        <v>0 STK</v>
      </c>
      <c r="Q37" s="191" t="str">
        <f>ROUNDUP($A37,0) &amp;" " &amp; Formeln!$A$111</f>
        <v>0 STK</v>
      </c>
    </row>
    <row r="38" spans="1:99" ht="32.1" customHeight="1">
      <c r="A38" s="118"/>
      <c r="B38" s="96" t="str">
        <f>VLOOKUP("STK",Sprachindex!A:Z,Info!$O$6,FALSE)</f>
        <v>STK</v>
      </c>
      <c r="C38" s="95"/>
      <c r="D38" s="95">
        <v>534001</v>
      </c>
      <c r="E38" s="250" t="str">
        <f>VLOOKUP("Hosen-Stehfalzhafter, NIRO ",Sprachindex!A:Z,Info!$O$6,FALSE)</f>
        <v xml:space="preserve">Hosen-Stehfalzhafter, NIRO </v>
      </c>
      <c r="F38" s="251"/>
      <c r="G38" s="251"/>
      <c r="H38" s="251"/>
      <c r="I38" s="251"/>
      <c r="J38" s="251"/>
      <c r="K38" s="257"/>
      <c r="L38" s="96" t="str">
        <f t="shared" si="0"/>
        <v/>
      </c>
      <c r="M38" s="130"/>
      <c r="N38" s="87"/>
      <c r="O38" s="1"/>
      <c r="P38" s="191" t="str">
        <f>ROUNDUP($A38/250,0)*250 &amp; " " &amp; Formeln!$A$111</f>
        <v>0 STK</v>
      </c>
      <c r="Q38" s="191" t="str">
        <f>ROUNDUP($A38,0) &amp;" " &amp; Formeln!$A$111</f>
        <v>0 STK</v>
      </c>
    </row>
    <row r="39" spans="1:99" ht="32.1" customHeight="1" thickBot="1">
      <c r="A39" s="118"/>
      <c r="B39" s="96" t="str">
        <f>VLOOKUP("STK",Sprachindex!A:Z,Info!$O$6,FALSE)</f>
        <v>STK</v>
      </c>
      <c r="C39" s="95"/>
      <c r="D39" s="95">
        <v>535001</v>
      </c>
      <c r="E39" s="250" t="str">
        <f>VLOOKUP("Hosen-Schiebehafter, NIRO",Sprachindex!A:Z,Info!$O$6,FALSE)</f>
        <v>Hosen-Schiebehafter, NIRO</v>
      </c>
      <c r="F39" s="251"/>
      <c r="G39" s="251"/>
      <c r="H39" s="251"/>
      <c r="I39" s="251"/>
      <c r="J39" s="251"/>
      <c r="K39" s="257"/>
      <c r="L39" s="96" t="str">
        <f t="shared" si="0"/>
        <v/>
      </c>
      <c r="M39" s="130"/>
      <c r="N39" s="87"/>
      <c r="O39" s="1"/>
      <c r="P39" s="191" t="str">
        <f>ROUNDUP($A39/250,0)*250 &amp; " " &amp; Formeln!$A$111</f>
        <v>0 STK</v>
      </c>
      <c r="Q39" s="191" t="str">
        <f>ROUNDUP($A39,0) &amp;" " &amp; Formeln!$A$111</f>
        <v>0 STK</v>
      </c>
      <c r="R39" s="6">
        <f>IF(H39=Formeln!A2,570,IF(H39=Formeln!A3,480,IF(H39=Formeln!A4,380,0)))</f>
        <v>0</v>
      </c>
    </row>
    <row r="40" spans="1:99" ht="32.1" customHeight="1" thickBot="1">
      <c r="A40" s="118"/>
      <c r="B40" s="96" t="str">
        <f>VLOOKUP("Kg",Sprachindex!A:Z,Info!$O$6,FALSE)</f>
        <v>kg</v>
      </c>
      <c r="C40" s="95"/>
      <c r="D40" s="95">
        <f>IF(H40=Formeln!A2,340397,IF(H40=Formeln!A3,340398,0))</f>
        <v>0</v>
      </c>
      <c r="E40" s="250" t="str">
        <f>VLOOKUP("Rillennägel, NIRO",Sprachindex!A:Z,Info!$O$6,FALSE)</f>
        <v>Rillennägel, NIRO</v>
      </c>
      <c r="F40" s="251"/>
      <c r="G40" s="251"/>
      <c r="H40" s="252"/>
      <c r="I40" s="267"/>
      <c r="J40" s="267"/>
      <c r="K40" s="253"/>
      <c r="L40" s="96" t="str">
        <f>IF(A40=0,"",IF(H40=Formeln!$A$1,"",IF($N$11=1,P40,Q40)))</f>
        <v/>
      </c>
      <c r="M40" s="130"/>
      <c r="N40" s="87"/>
      <c r="O40" s="1"/>
      <c r="P40" s="190" t="str">
        <f>IF(OR($H40=Formeln!$A$2,$H40=Formeln!$A$3),ROUNDUP($A40/2.5,0)*2.5&amp;" "&amp;Formeln!$A$114&amp;"                  "&amp;"(="&amp;ROUNDUP($A40/2.5,0)*2.5*$R40&amp;" "&amp;Formeln!$A$111&amp;")",ROUNDUP($A40/2,0)*2&amp;" "&amp;Formeln!$A$114&amp;"                  "&amp;"(="&amp;ROUNDUP($A40/2,0)*2*$R40&amp;" "&amp;Formeln!$A$111&amp;"")</f>
        <v>0 kg                  (=0 STK</v>
      </c>
      <c r="Q40" s="190" t="str">
        <f>ROUNDUP($A40,2) &amp; " " &amp; Formeln!$A$114 &amp; "                     " &amp; "(="&amp;ROUNDUP($A40/0.5,1)*0.5*$R40 &amp;" " &amp; Formeln!$A$111 &amp; ")"</f>
        <v>0 kg                     (=0 STK)</v>
      </c>
      <c r="R40" s="6">
        <f>IF(H40=Formeln!A2,570,IF(H40=Formeln!A3,480,IF(H40=Formeln!A4,380,0)))</f>
        <v>0</v>
      </c>
      <c r="T40" s="58" t="s">
        <v>74</v>
      </c>
      <c r="U40" s="59" t="s">
        <v>75</v>
      </c>
      <c r="V40" s="59" t="s">
        <v>76</v>
      </c>
      <c r="W40" s="59" t="s">
        <v>77</v>
      </c>
      <c r="X40" s="59" t="s">
        <v>78</v>
      </c>
      <c r="Y40" s="59" t="s">
        <v>79</v>
      </c>
      <c r="Z40" s="59" t="s">
        <v>80</v>
      </c>
      <c r="AA40" s="59" t="s">
        <v>81</v>
      </c>
      <c r="AB40" s="59" t="s">
        <v>82</v>
      </c>
      <c r="AC40" s="59" t="s">
        <v>83</v>
      </c>
      <c r="AD40" s="59" t="s">
        <v>84</v>
      </c>
      <c r="AE40" s="59" t="s">
        <v>48</v>
      </c>
      <c r="AF40" s="59" t="s">
        <v>85</v>
      </c>
      <c r="AG40" s="59" t="s">
        <v>86</v>
      </c>
      <c r="AH40" s="59" t="s">
        <v>87</v>
      </c>
      <c r="AI40" s="59" t="s">
        <v>88</v>
      </c>
      <c r="AJ40" s="60" t="s">
        <v>89</v>
      </c>
      <c r="AK40" s="60" t="s">
        <v>90</v>
      </c>
      <c r="AL40" s="60" t="s">
        <v>91</v>
      </c>
    </row>
    <row r="41" spans="1:99" ht="32.1" customHeight="1">
      <c r="A41" s="118"/>
      <c r="B41" s="96" t="str">
        <f>VLOOKUP("STK",Sprachindex!A:Z,Info!$O$6,FALSE)</f>
        <v>STK</v>
      </c>
      <c r="C41" s="95"/>
      <c r="D41" s="95">
        <f>IF($N$21=1,T41,IF($N$21=2,U41,IF($N$21=3,V41,IF($N$21=4,W41,IF($N$21=5,X41,IF($N$21=6,Y41,IF($N$21=7,Z41,IF($N$21=8,AA41,IF($N$21=9,AB41,IF($N$21=10,AC41,IF($N$21=11,AD41,IF($N$21=12,AE41,IF($N$21=13,AF41,IF($N$21=14,AG41,IF($N$21=15,AH41,IF($N$21=16,AI41,IF($N$21=17,AJ41,0)))))))))))))))))</f>
        <v>0</v>
      </c>
      <c r="E41" s="250" t="str">
        <f>VLOOKUP("Froschmaullukenhaube zum Aufnieten",Sprachindex!A:Z,Info!$O$6,FALSE)</f>
        <v>Froschmaullukenhaube zum Aufnieten</v>
      </c>
      <c r="F41" s="251"/>
      <c r="G41" s="251"/>
      <c r="H41" s="251"/>
      <c r="I41" s="251"/>
      <c r="J41" s="251"/>
      <c r="K41" s="257"/>
      <c r="L41" s="96" t="str">
        <f>IF(A41=0,"",IF($N$11=1,P41,Q41))</f>
        <v/>
      </c>
      <c r="M41" s="130"/>
      <c r="N41" s="87"/>
      <c r="O41" s="1"/>
      <c r="P41" s="191" t="str">
        <f>ROUNDUP($A41/20,0)*20 &amp;" " &amp; Formeln!$A$111</f>
        <v>0 STK</v>
      </c>
      <c r="Q41" s="191" t="str">
        <f>ROUNDUP($A41,0) &amp;" " &amp; Formeln!$A$111</f>
        <v>0 STK</v>
      </c>
      <c r="T41" s="64">
        <v>110103</v>
      </c>
      <c r="U41" s="64">
        <v>110100</v>
      </c>
      <c r="V41" s="64">
        <v>110108</v>
      </c>
      <c r="W41" s="64">
        <v>110105</v>
      </c>
      <c r="X41" s="64">
        <v>110101</v>
      </c>
      <c r="Y41" s="64">
        <v>110102</v>
      </c>
      <c r="Z41" s="64">
        <v>110104</v>
      </c>
      <c r="AA41" s="64">
        <v>110106</v>
      </c>
      <c r="AB41" s="64">
        <v>110107</v>
      </c>
      <c r="AC41" s="64">
        <v>121000</v>
      </c>
      <c r="AD41" s="64">
        <v>121001</v>
      </c>
      <c r="AE41" s="64"/>
      <c r="AF41" s="64">
        <v>512054</v>
      </c>
      <c r="AG41" s="64">
        <v>121003</v>
      </c>
      <c r="AH41" s="64"/>
      <c r="AI41" s="64" t="s">
        <v>296</v>
      </c>
      <c r="AJ41" s="64" t="s">
        <v>297</v>
      </c>
      <c r="AK41" s="64" t="s">
        <v>298</v>
      </c>
      <c r="AL41" s="64">
        <v>121005</v>
      </c>
    </row>
    <row r="42" spans="1:99" ht="32.1" customHeight="1">
      <c r="A42" s="118"/>
      <c r="B42" s="96" t="str">
        <f>VLOOKUP("lfm",Sprachindex!A:Z,Info!$O$6,FALSE)</f>
        <v>lfm</v>
      </c>
      <c r="C42" s="99"/>
      <c r="D42" s="95">
        <f>IF($N$21=1,T42,IF($N$21=2,U42,IF($N$21=3,V42,IF($N$21=4,W42,IF($N$21=5,X42,IF($N$21=6,Y42,IF($N$21=7,Z42,IF($N$21=8,AA42,IF($N$21=9,AB42,IF($N$21=10,AC42,IF($N$21=11,AD42,IF($N$21=12,AE42,IF($N$21=13,AF42,IF($N$21=14,AG42,IF($N$21=15,AH42,IF($N$21=16,AI42,IF($N$21=17,AJ42,0)))))))))))))))))</f>
        <v>0</v>
      </c>
      <c r="E42" s="250" t="str">
        <f>VLOOKUP("Einlaufblech 230 × 2.000 × 0,7 mm",Sprachindex!A:Z,Info!$O$6,FALSE)</f>
        <v>Einlaufblech 230 × 2.000 × 0,7 mm</v>
      </c>
      <c r="F42" s="251"/>
      <c r="G42" s="251"/>
      <c r="H42" s="251"/>
      <c r="I42" s="251"/>
      <c r="J42" s="251"/>
      <c r="K42" s="257"/>
      <c r="L42" s="96" t="str">
        <f>IF(A42=0,"",IF($N$11=1,P42,Q42))</f>
        <v/>
      </c>
      <c r="M42" s="130"/>
      <c r="N42" s="87"/>
      <c r="O42" s="1"/>
      <c r="P42" s="189" t="str">
        <f>ROUNDUP($A42/1.8,0)*1.8 &amp; " " &amp; Formeln!$A$112 &amp; "                     " &amp; "(="&amp;ROUNDUP($A42/1.8,0)&amp; " " &amp; Formeln!$A$111 &amp; ")"</f>
        <v>0 lfm                     (=0 STK)</v>
      </c>
      <c r="Q42" s="189" t="str">
        <f>ROUNDUP($A42/1.8,0)*1.8 &amp; " " &amp; Formeln!$A$112 &amp; "                     " &amp; "(="&amp;ROUNDUP($A42/1.8,0) &amp;" " &amp; Formeln!$A$111 &amp; ")"</f>
        <v>0 lfm                     (=0 STK)</v>
      </c>
      <c r="T42" s="64">
        <v>563005</v>
      </c>
      <c r="U42" s="64">
        <v>563004</v>
      </c>
      <c r="V42" s="64">
        <v>563017</v>
      </c>
      <c r="W42" s="64">
        <v>563007</v>
      </c>
      <c r="X42" s="64">
        <v>563006</v>
      </c>
      <c r="Y42" s="64">
        <v>563001</v>
      </c>
      <c r="Z42" s="64"/>
      <c r="AA42" s="64">
        <v>563016</v>
      </c>
      <c r="AB42" s="64">
        <v>563011</v>
      </c>
      <c r="AC42" s="64">
        <v>563013</v>
      </c>
      <c r="AD42" s="64">
        <v>563012</v>
      </c>
      <c r="AE42" s="64">
        <v>563002</v>
      </c>
      <c r="AF42" s="64" t="s">
        <v>299</v>
      </c>
      <c r="AG42" s="64"/>
      <c r="AH42" s="64"/>
      <c r="AI42" s="64"/>
      <c r="AJ42" s="64"/>
      <c r="AK42" s="64"/>
      <c r="AL42" s="64"/>
    </row>
    <row r="43" spans="1:99" ht="32.1" customHeight="1" thickBot="1">
      <c r="A43" s="118"/>
      <c r="B43" s="96" t="str">
        <f>VLOOKUP("lfm",Sprachindex!A:Z,Info!$O$6,FALSE)</f>
        <v>lfm</v>
      </c>
      <c r="C43" s="95"/>
      <c r="D43" s="95">
        <v>507300</v>
      </c>
      <c r="E43" s="250" t="str">
        <f>VLOOKUP("Vogelschutzgitter 125 × 2.000 × 0,7 mm",Sprachindex!A:Z,Info!$O$6,FALSE)</f>
        <v>Vogelschutzgitter 125 × 2.000 × 0,7 mm</v>
      </c>
      <c r="F43" s="251"/>
      <c r="G43" s="251"/>
      <c r="H43" s="251"/>
      <c r="I43" s="251"/>
      <c r="J43" s="251"/>
      <c r="K43" s="257"/>
      <c r="L43" s="96" t="str">
        <f>IF(A43=0,"",IF($N$11=1,P43,Q43))</f>
        <v/>
      </c>
      <c r="M43" s="130"/>
      <c r="N43" s="87"/>
      <c r="O43" s="1"/>
      <c r="P43" s="191" t="str">
        <f>ROUNDUP($A43/2,0)*2 &amp;" " &amp; Formeln!$A$112 &amp; "                " &amp; "(="&amp;ROUNDUP($A43/2,0) &amp; " " &amp;Formeln!$A$111 &amp; ")"</f>
        <v>0 lfm                (=0 STK)</v>
      </c>
      <c r="Q43" s="191" t="str">
        <f>ROUNDUP($A43/2,0)*2 &amp;" " &amp; Formeln!$A$112 &amp; "                " &amp; "(="&amp;ROUNDUP($A43/2,0) &amp; " " &amp;Formeln!$A$111 &amp; ")"</f>
        <v>0 lfm                (=0 STK)</v>
      </c>
    </row>
    <row r="44" spans="1:99" ht="32.1" customHeight="1" thickBot="1">
      <c r="A44" s="118"/>
      <c r="B44" s="96" t="str">
        <f>VLOOKUP("lfm",Sprachindex!A:Z,Info!$O$6,FALSE)</f>
        <v>lfm</v>
      </c>
      <c r="C44" s="95"/>
      <c r="D44" s="95" t="str">
        <f>IF(H44=Formeln!A10,507400,IF(H44=Formeln!A11,507402,IF(H44=Formeln!A12,507411,IF(H44=Formeln!A13,"",0))))</f>
        <v/>
      </c>
      <c r="E44" s="250" t="str">
        <f>VLOOKUP("Lüftungsband",Sprachindex!A:Z,Info!$O$6,FALSE)</f>
        <v>Lüftungsband</v>
      </c>
      <c r="F44" s="251"/>
      <c r="G44" s="251"/>
      <c r="H44" s="252"/>
      <c r="I44" s="267"/>
      <c r="J44" s="267"/>
      <c r="K44" s="253"/>
      <c r="L44" s="96" t="str">
        <f>IF($H44=Formeln!$A$9," ",IF(A44=0,"",IF($N$11=1,P44,Q44)))</f>
        <v xml:space="preserve"> </v>
      </c>
      <c r="M44" s="130"/>
      <c r="N44" s="87"/>
      <c r="O44" s="1"/>
      <c r="P44" s="191" t="str">
        <f>ROUNDUP($A44/40,0)*40 &amp;" " &amp; Formeln!$A$112</f>
        <v>0 lfm</v>
      </c>
      <c r="Q44" s="191" t="str">
        <f>$A44 &amp;" " &amp; Formeln!$A$112</f>
        <v xml:space="preserve"> lfm</v>
      </c>
      <c r="T44" s="58" t="s">
        <v>74</v>
      </c>
      <c r="U44" s="59" t="s">
        <v>75</v>
      </c>
      <c r="V44" s="59" t="s">
        <v>76</v>
      </c>
      <c r="W44" s="59" t="s">
        <v>77</v>
      </c>
      <c r="X44" s="59" t="s">
        <v>78</v>
      </c>
      <c r="Y44" s="59" t="s">
        <v>79</v>
      </c>
      <c r="Z44" s="59" t="s">
        <v>80</v>
      </c>
      <c r="AA44" s="59" t="s">
        <v>81</v>
      </c>
      <c r="AB44" s="59" t="s">
        <v>82</v>
      </c>
      <c r="AC44" s="59" t="s">
        <v>83</v>
      </c>
      <c r="AD44" s="59" t="s">
        <v>84</v>
      </c>
      <c r="AE44" s="59" t="s">
        <v>48</v>
      </c>
      <c r="AF44" s="59" t="s">
        <v>85</v>
      </c>
      <c r="AG44" s="59" t="s">
        <v>86</v>
      </c>
      <c r="AH44" s="59" t="s">
        <v>87</v>
      </c>
      <c r="AI44" s="59" t="s">
        <v>88</v>
      </c>
      <c r="AJ44" s="60" t="s">
        <v>89</v>
      </c>
      <c r="AK44" s="60" t="s">
        <v>90</v>
      </c>
      <c r="AL44" s="60" t="s">
        <v>91</v>
      </c>
      <c r="AN44" s="58" t="s">
        <v>74</v>
      </c>
      <c r="AO44" s="59" t="s">
        <v>75</v>
      </c>
      <c r="AP44" s="59" t="s">
        <v>76</v>
      </c>
      <c r="AQ44" s="59" t="s">
        <v>77</v>
      </c>
      <c r="AR44" s="59" t="s">
        <v>78</v>
      </c>
      <c r="AS44" s="59" t="s">
        <v>79</v>
      </c>
      <c r="AT44" s="59" t="s">
        <v>80</v>
      </c>
      <c r="AU44" s="59" t="s">
        <v>81</v>
      </c>
      <c r="AV44" s="59" t="s">
        <v>82</v>
      </c>
      <c r="AW44" s="59" t="s">
        <v>83</v>
      </c>
      <c r="AX44" s="59" t="s">
        <v>84</v>
      </c>
      <c r="AY44" s="59" t="s">
        <v>48</v>
      </c>
      <c r="AZ44" s="59" t="s">
        <v>85</v>
      </c>
      <c r="BA44" s="59" t="s">
        <v>86</v>
      </c>
      <c r="BB44" s="59" t="s">
        <v>87</v>
      </c>
      <c r="BC44" s="59" t="s">
        <v>88</v>
      </c>
      <c r="BD44" s="60" t="s">
        <v>89</v>
      </c>
      <c r="BE44" s="156"/>
      <c r="BF44" s="156"/>
      <c r="BH44" s="58" t="s">
        <v>74</v>
      </c>
      <c r="BI44" s="59" t="s">
        <v>75</v>
      </c>
      <c r="BJ44" s="59" t="s">
        <v>76</v>
      </c>
      <c r="BK44" s="59" t="s">
        <v>77</v>
      </c>
      <c r="BL44" s="59" t="s">
        <v>78</v>
      </c>
      <c r="BM44" s="59" t="s">
        <v>79</v>
      </c>
      <c r="BN44" s="59" t="s">
        <v>80</v>
      </c>
      <c r="BO44" s="59" t="s">
        <v>81</v>
      </c>
      <c r="BP44" s="59" t="s">
        <v>82</v>
      </c>
      <c r="BQ44" s="59" t="s">
        <v>83</v>
      </c>
      <c r="BR44" s="59" t="s">
        <v>84</v>
      </c>
      <c r="BS44" s="59" t="s">
        <v>48</v>
      </c>
      <c r="BT44" s="59" t="s">
        <v>85</v>
      </c>
      <c r="BU44" s="59" t="s">
        <v>86</v>
      </c>
      <c r="BV44" s="59" t="s">
        <v>87</v>
      </c>
      <c r="BW44" s="59" t="s">
        <v>88</v>
      </c>
      <c r="BX44" s="60" t="s">
        <v>89</v>
      </c>
    </row>
    <row r="45" spans="1:99" ht="32.1" customHeight="1">
      <c r="A45" s="118"/>
      <c r="B45" s="96" t="str">
        <f>VLOOKUP("STK",Sprachindex!A:Z,Info!$O$6,FALSE)</f>
        <v>STK</v>
      </c>
      <c r="C45" s="95"/>
      <c r="D45" s="95">
        <f>IF($N$21=1,T45,IF($N$21=2,U45,IF($N$21=3,V45,IF($N$21=4,W45,IF($N$21=5,X45,IF($N$21=6,Y45,IF($N$21=7,Z45,IF($N$21=8,AA45,IF($N$21=9,AB45,IF($N$21=10,AC45,IF($N$21=11,AD45,IF($N$21=12,AE45,IF($N$21=13,AF45,IF($N$21=14,AG45,IF($N$21=15,AH45,IF($N$21=16,AI45,IF($N$21=17,AJ45,IF($N$21=18,AK45,IF($N$21=19,AL45,0)))))))))))))))))))</f>
        <v>0</v>
      </c>
      <c r="E45" s="250" t="str">
        <f>VLOOKUP("Entlüftungsrohr DM 100",Sprachindex!A:Z,Info!$O$6,FALSE)</f>
        <v>Entlüftungsrohr DM 100</v>
      </c>
      <c r="F45" s="251"/>
      <c r="G45" s="251"/>
      <c r="H45" s="251"/>
      <c r="I45" s="251"/>
      <c r="J45" s="251"/>
      <c r="K45" s="257"/>
      <c r="L45" s="96" t="str">
        <f>IF(A45=0,"",IF($N$11=1,P45,Q45))</f>
        <v/>
      </c>
      <c r="M45" s="130"/>
      <c r="N45" s="87"/>
      <c r="O45" s="1"/>
      <c r="P45" s="191" t="str">
        <f>ROUNDUP($A45,0) &amp;" " &amp; Formeln!$A$111</f>
        <v>0 STK</v>
      </c>
      <c r="Q45" s="191" t="str">
        <f>ROUNDUP($A45,0) &amp;" " &amp; Formeln!$A$111</f>
        <v>0 STK</v>
      </c>
      <c r="T45" s="64">
        <v>110203</v>
      </c>
      <c r="U45" s="64">
        <v>110200</v>
      </c>
      <c r="V45" s="64">
        <v>110208</v>
      </c>
      <c r="W45" s="64">
        <v>110205</v>
      </c>
      <c r="X45" s="64">
        <v>110201</v>
      </c>
      <c r="Y45" s="64">
        <v>110202</v>
      </c>
      <c r="Z45" s="64">
        <v>110204</v>
      </c>
      <c r="AA45" s="64">
        <v>110206</v>
      </c>
      <c r="AB45" s="64">
        <v>110207</v>
      </c>
      <c r="AC45" s="64" t="s">
        <v>300</v>
      </c>
      <c r="AD45" s="64" t="s">
        <v>301</v>
      </c>
      <c r="AE45" s="64" t="s">
        <v>302</v>
      </c>
      <c r="AF45" s="64" t="s">
        <v>303</v>
      </c>
      <c r="AG45" s="64">
        <v>121013</v>
      </c>
      <c r="AH45" s="64"/>
      <c r="AI45" s="64" t="s">
        <v>304</v>
      </c>
      <c r="AJ45" s="64" t="s">
        <v>305</v>
      </c>
      <c r="AK45" s="64" t="s">
        <v>306</v>
      </c>
      <c r="AL45" s="64" t="s">
        <v>307</v>
      </c>
    </row>
    <row r="46" spans="1:99" ht="32.1" customHeight="1">
      <c r="A46" s="118"/>
      <c r="B46" s="96" t="str">
        <f>VLOOKUP("STK",Sprachindex!A:Z,Info!$O$6,FALSE)</f>
        <v>STK</v>
      </c>
      <c r="C46" s="95"/>
      <c r="D46" s="95">
        <f>IF($N$21=1,T46,IF($N$21=2,U46,IF($N$21=3,V46,IF($N$21=4,W46,IF($N$21=5,X46,IF($N$21=6,Y46,IF($N$21=7,Z46,IF($N$21=8,AA46,IF($N$21=9,AB46,IF($N$21=10,AC46,IF($N$21=11,AD46,IF($N$21=12,AE46,IF($N$21=13,AF46,IF($N$21=14,AG46,IF($N$21=15,AH46,IF($N$21=16,AI46,IF($N$21=17,AJ46,IF($N$21=18,AK46,IF($N$21=19,AL46,0)))))))))))))))))))</f>
        <v>0</v>
      </c>
      <c r="E46" s="250" t="str">
        <f>VLOOKUP("Entlüftungsrohr DM 120",Sprachindex!A:Z,Info!$O$6,FALSE)</f>
        <v>Entlüftungsrohr DM 120</v>
      </c>
      <c r="F46" s="251"/>
      <c r="G46" s="251"/>
      <c r="H46" s="251"/>
      <c r="I46" s="251"/>
      <c r="J46" s="251"/>
      <c r="K46" s="257"/>
      <c r="L46" s="96" t="str">
        <f>IF(A46=0,"",IF($N$11=1,P46,Q46))</f>
        <v/>
      </c>
      <c r="M46" s="130"/>
      <c r="N46" s="87"/>
      <c r="O46" s="1"/>
      <c r="P46" s="191" t="str">
        <f>ROUNDUP($A46,0) &amp;" " &amp; Formeln!$A$111</f>
        <v>0 STK</v>
      </c>
      <c r="Q46" s="191" t="str">
        <f>ROUNDUP($A46,0) &amp;" " &amp; Formeln!$A$111</f>
        <v>0 STK</v>
      </c>
      <c r="T46" s="64">
        <v>110213</v>
      </c>
      <c r="U46" s="64">
        <v>110210</v>
      </c>
      <c r="V46" s="64">
        <v>110218</v>
      </c>
      <c r="W46" s="64">
        <v>110215</v>
      </c>
      <c r="X46" s="64">
        <v>110211</v>
      </c>
      <c r="Y46" s="64">
        <v>110212</v>
      </c>
      <c r="Z46" s="64">
        <v>110214</v>
      </c>
      <c r="AA46" s="64">
        <v>110216</v>
      </c>
      <c r="AB46" s="64" t="s">
        <v>308</v>
      </c>
      <c r="AC46" s="64" t="s">
        <v>309</v>
      </c>
      <c r="AD46" s="64" t="s">
        <v>310</v>
      </c>
      <c r="AE46" s="64" t="s">
        <v>311</v>
      </c>
      <c r="AF46" s="64"/>
      <c r="AG46" s="64">
        <v>121023</v>
      </c>
      <c r="AH46" s="64"/>
      <c r="AI46" s="64" t="s">
        <v>312</v>
      </c>
      <c r="AJ46" s="78" t="s">
        <v>313</v>
      </c>
      <c r="AK46" s="64" t="s">
        <v>314</v>
      </c>
      <c r="AL46" s="64" t="s">
        <v>315</v>
      </c>
      <c r="AM46" s="1" t="s">
        <v>25</v>
      </c>
      <c r="BD46" s="66" t="s">
        <v>316</v>
      </c>
      <c r="BE46" s="66"/>
      <c r="BF46" s="66"/>
      <c r="BG46" s="1" t="s">
        <v>26</v>
      </c>
      <c r="BY46" s="66" t="s">
        <v>317</v>
      </c>
    </row>
    <row r="47" spans="1:99" ht="32.1" customHeight="1">
      <c r="A47" s="118"/>
      <c r="B47" s="96" t="str">
        <f>VLOOKUP("STK",Sprachindex!A:Z,Info!$O$6,FALSE)</f>
        <v>STK</v>
      </c>
      <c r="C47" s="95"/>
      <c r="D47" s="95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IF($N$21=18,AK47,IF($N$21=19,AL47,0)))))))))))))))))))</f>
        <v>0</v>
      </c>
      <c r="E47" s="250" t="str">
        <f>VLOOKUP("Dachlukendeckel",Sprachindex!A:Z,Info!$O$6,FALSE)</f>
        <v>Dachlukendeckel</v>
      </c>
      <c r="F47" s="251"/>
      <c r="G47" s="251"/>
      <c r="H47" s="251"/>
      <c r="I47" s="251"/>
      <c r="J47" s="251"/>
      <c r="K47" s="257"/>
      <c r="L47" s="96" t="str">
        <f t="shared" si="0"/>
        <v/>
      </c>
      <c r="M47" s="130"/>
      <c r="N47" s="87"/>
      <c r="O47" s="1"/>
      <c r="P47" s="191" t="str">
        <f>ROUNDUP($A47,0) &amp;" " &amp; Formeln!$A$111</f>
        <v>0 STK</v>
      </c>
      <c r="Q47" s="191" t="str">
        <f>ROUNDUP($A47,0) &amp;" " &amp; Formeln!$A$111</f>
        <v>0 STK</v>
      </c>
      <c r="T47" s="64" t="s">
        <v>318</v>
      </c>
      <c r="U47" s="64" t="s">
        <v>319</v>
      </c>
      <c r="V47" s="64" t="s">
        <v>320</v>
      </c>
      <c r="W47" s="64" t="s">
        <v>321</v>
      </c>
      <c r="X47" s="64" t="s">
        <v>322</v>
      </c>
      <c r="Y47" s="64" t="s">
        <v>323</v>
      </c>
      <c r="Z47" s="64" t="s">
        <v>324</v>
      </c>
      <c r="AA47" s="64" t="s">
        <v>325</v>
      </c>
      <c r="AB47" s="64" t="s">
        <v>326</v>
      </c>
      <c r="AC47" s="64" t="s">
        <v>327</v>
      </c>
      <c r="AD47" s="64" t="s">
        <v>328</v>
      </c>
      <c r="AE47" s="64" t="s">
        <v>329</v>
      </c>
      <c r="AF47" s="64"/>
      <c r="AG47" s="64" t="s">
        <v>330</v>
      </c>
      <c r="AH47" s="64"/>
      <c r="AI47" s="64" t="s">
        <v>331</v>
      </c>
      <c r="AJ47" s="64" t="s">
        <v>332</v>
      </c>
      <c r="AK47" s="64" t="s">
        <v>333</v>
      </c>
      <c r="AL47" s="64" t="s">
        <v>334</v>
      </c>
      <c r="AM47" s="65">
        <f>IF($N$21=1,T47,IF($N$21=2,U47,IF($N$21=3,V47,IF($N$21=4,W47,IF($N$21=5,X47,IF($N$21=6,Y47,IF($N$21=7,Z47,IF($N$21=8,AA47,IF($N$21=9,AB47,IF($N$21=10,AC47,IF($N$21=11,AD47,IF($N$21=12,AE47,IF($N$21=13,AF47,IF($N$21=14,AG47,IF($N$21=15,AH47,IF($N$21=16,AI47,IF($N$21=17,AJ47,0)))))))))))))))))</f>
        <v>0</v>
      </c>
      <c r="AN47" s="64"/>
      <c r="AO47" s="64"/>
      <c r="AP47" s="64"/>
      <c r="AQ47" s="64"/>
      <c r="AR47" s="64"/>
      <c r="AS47" s="64"/>
      <c r="AT47" s="64"/>
      <c r="AU47" s="64"/>
      <c r="AV47" s="64"/>
      <c r="AY47" s="64"/>
      <c r="BG47" s="65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Y47" s="65"/>
    </row>
    <row r="48" spans="1:99" ht="32.1" customHeight="1">
      <c r="A48" s="118"/>
      <c r="B48" s="96" t="str">
        <f>VLOOKUP("STK",Sprachindex!A:Z,Info!$O$6,FALSE)</f>
        <v>STK</v>
      </c>
      <c r="C48" s="95"/>
      <c r="D48" s="95">
        <v>426003</v>
      </c>
      <c r="E48" s="250" t="str">
        <f>VLOOKUP("Holzrahmen (Innenmaß: 595x595 mm)",Sprachindex!A:Z,Info!$O$6,FALSE)</f>
        <v>Holzrahmen (Innenmaß: 595x595 mm)</v>
      </c>
      <c r="F48" s="251"/>
      <c r="G48" s="251"/>
      <c r="H48" s="251"/>
      <c r="I48" s="251"/>
      <c r="J48" s="251"/>
      <c r="K48" s="257"/>
      <c r="L48" s="96" t="str">
        <f>IF(A48=0,"",IF($N$11=1,P48,Q48))</f>
        <v/>
      </c>
      <c r="M48" s="130"/>
      <c r="N48" s="87"/>
      <c r="O48" s="1"/>
      <c r="P48" s="191" t="str">
        <f>ROUNDUP($A48,0) &amp;" " &amp; Formeln!$A$111</f>
        <v>0 STK</v>
      </c>
      <c r="Q48" s="191" t="str">
        <f>ROUNDUP($A48,0) &amp;" " &amp; Formeln!$A$111</f>
        <v>0 STK</v>
      </c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5"/>
      <c r="AN48" s="64"/>
      <c r="AO48" s="64"/>
      <c r="AP48" s="64"/>
      <c r="AQ48" s="64"/>
      <c r="AR48" s="64"/>
      <c r="AS48" s="64"/>
      <c r="AT48" s="64"/>
      <c r="AU48" s="64"/>
      <c r="AV48" s="64"/>
      <c r="AY48" s="64"/>
      <c r="BG48" s="65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Y48" s="65"/>
    </row>
    <row r="49" spans="1:77" ht="32.1" customHeight="1" thickBot="1">
      <c r="A49" s="118"/>
      <c r="B49" s="96" t="str">
        <f>VLOOKUP("STK",Sprachindex!A:Z,Info!$O$6,FALSE)</f>
        <v>STK</v>
      </c>
      <c r="C49" s="95"/>
      <c r="D49" s="95">
        <f>IF(J49=Formeln!C31,Formeln!B31,IF(J49=Formeln!C32,Formeln!B32,IF(J49=Formeln!C33,Formeln!B33,IF(J49=Formeln!C34,Formeln!B34,IF(J49=Formeln!C35,Formeln!B35,IF(J49=Formeln!C36,Formeln!B36,IF(J49=Formeln!C37,Formeln!B37,IF(J49=Formeln!C38,Formeln!B38,IF(J49=Formeln!C39,Formeln!B39,IF(J49=Formeln!C40,Formeln!B40,0))))))))))</f>
        <v>0</v>
      </c>
      <c r="E49" s="250" t="str">
        <f>VLOOKUP("Dachflächenfenstereinfassung für PREFALZ",Sprachindex!A:Z,Info!$O$6,FALSE)</f>
        <v>Dachflächenfenstereinfassung für PREFALZ</v>
      </c>
      <c r="F49" s="251"/>
      <c r="G49" s="251"/>
      <c r="H49" s="251"/>
      <c r="I49" s="251"/>
      <c r="J49" s="301"/>
      <c r="K49" s="302"/>
      <c r="L49" s="96" t="str">
        <f>IF(A49=0,"",IF(H49=Formeln!$C$30,"",IF($N$11=1,P49,Q49)))</f>
        <v/>
      </c>
      <c r="M49" s="130"/>
      <c r="N49" s="87"/>
      <c r="O49" s="1"/>
      <c r="P49" s="191" t="str">
        <f>ROUNDUP($A49,0) &amp;" " &amp; Formeln!$A$111</f>
        <v>0 STK</v>
      </c>
      <c r="Q49" s="191" t="str">
        <f>ROUNDUP($A49,0) &amp;" " &amp; Formeln!$A$111</f>
        <v>0 STK</v>
      </c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62"/>
      <c r="AN49" s="64"/>
      <c r="AO49" s="64"/>
      <c r="AP49" s="64"/>
      <c r="AQ49" s="64"/>
      <c r="AR49" s="64"/>
      <c r="AS49" s="64"/>
      <c r="AT49" s="64"/>
      <c r="AU49" s="64"/>
      <c r="AV49" s="64"/>
      <c r="AY49" s="64"/>
      <c r="BG49" s="162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Y49" s="162"/>
    </row>
    <row r="50" spans="1:77" ht="32.1" customHeight="1" thickBot="1">
      <c r="A50" s="118"/>
      <c r="B50" s="96" t="str">
        <f>VLOOKUP("STK",Sprachindex!A:Z,Info!$O$6,FALSE)</f>
        <v>STK</v>
      </c>
      <c r="C50" s="95"/>
      <c r="D50" s="95">
        <v>420510</v>
      </c>
      <c r="E50" s="250" t="str">
        <f>VLOOKUP("Falzgel in Kartusche",Sprachindex!A:Z,Info!$O$6,FALSE)</f>
        <v>Falzgel in Kartusche</v>
      </c>
      <c r="F50" s="251"/>
      <c r="G50" s="251"/>
      <c r="H50" s="251"/>
      <c r="I50" s="251"/>
      <c r="J50" s="251"/>
      <c r="K50" s="257"/>
      <c r="L50" s="96" t="str">
        <f t="shared" si="0"/>
        <v/>
      </c>
      <c r="M50" s="130"/>
      <c r="N50" s="87"/>
      <c r="O50" s="1"/>
      <c r="P50" s="191" t="str">
        <f>ROUNDUP($A50/12,0)*12 &amp;" " &amp; Formeln!$A$111</f>
        <v>0 STK</v>
      </c>
      <c r="Q50" s="191" t="str">
        <f>ROUNDUP($A50,0) &amp;" " &amp; Formeln!$A$111</f>
        <v>0 STK</v>
      </c>
      <c r="R50" s="6"/>
      <c r="T50" s="58" t="s">
        <v>74</v>
      </c>
      <c r="U50" s="59" t="s">
        <v>75</v>
      </c>
      <c r="V50" s="59" t="s">
        <v>76</v>
      </c>
      <c r="W50" s="59" t="s">
        <v>77</v>
      </c>
      <c r="X50" s="59" t="s">
        <v>78</v>
      </c>
      <c r="Y50" s="59" t="s">
        <v>79</v>
      </c>
      <c r="Z50" s="59" t="s">
        <v>80</v>
      </c>
      <c r="AA50" s="59" t="s">
        <v>81</v>
      </c>
      <c r="AB50" s="59" t="s">
        <v>82</v>
      </c>
      <c r="AC50" s="59" t="s">
        <v>83</v>
      </c>
      <c r="AD50" s="59" t="s">
        <v>84</v>
      </c>
      <c r="AE50" s="59" t="s">
        <v>48</v>
      </c>
      <c r="AF50" s="59" t="s">
        <v>85</v>
      </c>
      <c r="AG50" s="59" t="s">
        <v>86</v>
      </c>
      <c r="AH50" s="59" t="s">
        <v>87</v>
      </c>
      <c r="AI50" s="59" t="s">
        <v>88</v>
      </c>
      <c r="AJ50" s="60" t="s">
        <v>89</v>
      </c>
      <c r="AK50" s="60" t="s">
        <v>90</v>
      </c>
      <c r="AL50" s="60" t="s">
        <v>91</v>
      </c>
      <c r="AN50" s="58" t="s">
        <v>74</v>
      </c>
      <c r="AO50" s="59" t="s">
        <v>75</v>
      </c>
      <c r="AP50" s="59" t="s">
        <v>76</v>
      </c>
      <c r="AQ50" s="59" t="s">
        <v>77</v>
      </c>
      <c r="AR50" s="59" t="s">
        <v>78</v>
      </c>
      <c r="AS50" s="59" t="s">
        <v>79</v>
      </c>
      <c r="AT50" s="59" t="s">
        <v>80</v>
      </c>
      <c r="AU50" s="59" t="s">
        <v>81</v>
      </c>
      <c r="AV50" s="59" t="s">
        <v>82</v>
      </c>
      <c r="AW50" s="59" t="s">
        <v>83</v>
      </c>
      <c r="AX50" s="59" t="s">
        <v>84</v>
      </c>
      <c r="AY50" s="59" t="s">
        <v>48</v>
      </c>
      <c r="AZ50" s="59" t="s">
        <v>85</v>
      </c>
      <c r="BA50" s="59" t="s">
        <v>86</v>
      </c>
      <c r="BB50" s="59" t="s">
        <v>87</v>
      </c>
      <c r="BC50" s="59" t="s">
        <v>88</v>
      </c>
      <c r="BD50" s="60" t="s">
        <v>89</v>
      </c>
      <c r="BE50" s="156"/>
      <c r="BF50" s="156"/>
    </row>
    <row r="51" spans="1:77" ht="32.1" customHeight="1">
      <c r="A51" s="118"/>
      <c r="B51" s="96" t="str">
        <f>VLOOKUP("STK",Sprachindex!A:Z,Info!$O$6,FALSE)</f>
        <v>STK</v>
      </c>
      <c r="C51" s="95"/>
      <c r="D51" s="95">
        <v>420511</v>
      </c>
      <c r="E51" s="250" t="str">
        <f>VLOOKUP("Falzgel in Folienbeutel",Sprachindex!A:Z,Info!$O$6,FALSE)</f>
        <v>Falzgel in Folienbeutel</v>
      </c>
      <c r="F51" s="251"/>
      <c r="G51" s="251"/>
      <c r="H51" s="251"/>
      <c r="I51" s="251"/>
      <c r="J51" s="251"/>
      <c r="K51" s="257"/>
      <c r="L51" s="96" t="str">
        <f t="shared" si="0"/>
        <v/>
      </c>
      <c r="M51" s="130"/>
      <c r="N51" s="87"/>
      <c r="O51" s="1"/>
      <c r="P51" s="191" t="str">
        <f>ROUNDUP($A51/10,0)*10 &amp;" " &amp; Formeln!$A$111</f>
        <v>0 STK</v>
      </c>
      <c r="Q51" s="191" t="str">
        <f>ROUNDUP($A51,0) &amp;" " &amp; Formeln!$A$111</f>
        <v>0 STK</v>
      </c>
      <c r="R51" s="6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</row>
    <row r="52" spans="1:77" ht="32.1" customHeight="1">
      <c r="A52" s="118"/>
      <c r="B52" s="96" t="str">
        <f>VLOOKUP("STK",Sprachindex!A:Z,Info!$O$6,FALSE)</f>
        <v>STK</v>
      </c>
      <c r="C52" s="95"/>
      <c r="D52" s="95">
        <f t="shared" ref="D52:D58" si="1">IF($N$21=1,T52,IF($N$21=2,U52,IF($N$21=3,V52,IF($N$21=4,W52,IF($N$21=5,X52,IF($N$21=6,Y52,IF($N$21=7,Z52,IF($N$21=8,AA52,IF($N$21=9,AB52,IF($N$21=10,AC52,IF($N$21=11,AD52,IF($N$21=12,AE52,IF($N$21=13,AF52,IF($N$21=14,AG52,IF($N$21=15,AH52,IF($N$21=16,AI52,IF($N$21=17,AJ52,IF($N$21=18,AK52,IF($N$21=19,AL52,0)))))))))))))))))))</f>
        <v>0</v>
      </c>
      <c r="E52" s="250" t="str">
        <f>VLOOKUP("Sailerklemme, einfach",Sprachindex!A:Z,Info!$O$6,FALSE)</f>
        <v>Sailerklemme, einfach</v>
      </c>
      <c r="F52" s="251"/>
      <c r="G52" s="251"/>
      <c r="H52" s="251"/>
      <c r="I52" s="251"/>
      <c r="J52" s="251"/>
      <c r="K52" s="257"/>
      <c r="L52" s="96" t="str">
        <f t="shared" si="0"/>
        <v/>
      </c>
      <c r="M52" s="130"/>
      <c r="N52" s="87"/>
      <c r="O52" s="1"/>
      <c r="P52" s="191" t="str">
        <f>ROUNDUP($A52/20,0)*20 &amp;" " &amp; Formeln!$A$111</f>
        <v>0 STK</v>
      </c>
      <c r="Q52" s="191" t="str">
        <f>ROUNDUP($A52,0) &amp;" " &amp; Formeln!$A$111</f>
        <v>0 STK</v>
      </c>
      <c r="T52" s="64">
        <v>120203</v>
      </c>
      <c r="U52" s="64">
        <v>120200</v>
      </c>
      <c r="V52" s="64">
        <v>120208</v>
      </c>
      <c r="W52" s="64">
        <v>120205</v>
      </c>
      <c r="X52" s="64">
        <v>120201</v>
      </c>
      <c r="Y52" s="64">
        <v>120202</v>
      </c>
      <c r="Z52" s="64">
        <v>120204</v>
      </c>
      <c r="AA52" s="64">
        <v>120206</v>
      </c>
      <c r="AB52" s="64">
        <v>120207</v>
      </c>
      <c r="AC52" s="64">
        <v>121100</v>
      </c>
      <c r="AD52" s="64">
        <v>121101</v>
      </c>
      <c r="AE52" s="64">
        <v>649522</v>
      </c>
      <c r="AF52" s="64">
        <v>649548</v>
      </c>
      <c r="AG52" s="64" t="s">
        <v>335</v>
      </c>
      <c r="AH52" s="64"/>
      <c r="AI52" s="64" t="s">
        <v>336</v>
      </c>
      <c r="AJ52" s="64" t="s">
        <v>337</v>
      </c>
      <c r="AK52" s="64" t="s">
        <v>338</v>
      </c>
      <c r="AL52" s="64" t="s">
        <v>339</v>
      </c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</row>
    <row r="53" spans="1:77" ht="32.1" customHeight="1">
      <c r="A53" s="118"/>
      <c r="B53" s="96" t="str">
        <f>VLOOKUP("STK",Sprachindex!A:Z,Info!$O$6,FALSE)</f>
        <v>STK</v>
      </c>
      <c r="C53" s="95"/>
      <c r="D53" s="95">
        <f t="shared" si="1"/>
        <v>0</v>
      </c>
      <c r="E53" s="250" t="str">
        <f>VLOOKUP("Sailerklemme mit Langloch",Sprachindex!A:Z,Info!$O$6,FALSE)</f>
        <v>Sailerklemme mit Langloch</v>
      </c>
      <c r="F53" s="251"/>
      <c r="G53" s="251"/>
      <c r="H53" s="251"/>
      <c r="I53" s="251"/>
      <c r="J53" s="251"/>
      <c r="K53" s="257"/>
      <c r="L53" s="96" t="str">
        <f t="shared" si="0"/>
        <v/>
      </c>
      <c r="M53" s="130"/>
      <c r="N53" s="87"/>
      <c r="O53" s="1"/>
      <c r="P53" s="191" t="str">
        <f>ROUNDUP($A53/20,0)*20 &amp;" " &amp; Formeln!$A$111</f>
        <v>0 STK</v>
      </c>
      <c r="Q53" s="191" t="str">
        <f>ROUNDUP($A53,0) &amp;" " &amp; Formeln!$A$111</f>
        <v>0 STK</v>
      </c>
      <c r="T53" s="64">
        <v>120223</v>
      </c>
      <c r="U53" s="64">
        <v>120220</v>
      </c>
      <c r="V53" s="64">
        <v>120228</v>
      </c>
      <c r="W53" s="64">
        <v>120225</v>
      </c>
      <c r="X53" s="64">
        <v>120221</v>
      </c>
      <c r="Y53" s="64">
        <v>120222</v>
      </c>
      <c r="Z53" s="64">
        <v>120224</v>
      </c>
      <c r="AA53" s="64">
        <v>120226</v>
      </c>
      <c r="AB53" s="64">
        <v>120227</v>
      </c>
      <c r="AC53" s="64">
        <v>121120</v>
      </c>
      <c r="AD53" s="64">
        <v>121121</v>
      </c>
      <c r="AE53" s="64">
        <v>649700</v>
      </c>
      <c r="AF53" s="64">
        <v>649713</v>
      </c>
      <c r="AG53" s="64">
        <v>121123</v>
      </c>
      <c r="AH53" s="64"/>
      <c r="AI53" s="64">
        <v>121124</v>
      </c>
      <c r="AJ53" s="64" t="s">
        <v>340</v>
      </c>
      <c r="AK53" s="64">
        <v>121126</v>
      </c>
      <c r="AL53" s="64">
        <v>121125</v>
      </c>
    </row>
    <row r="54" spans="1:77" ht="32.1" customHeight="1">
      <c r="A54" s="118"/>
      <c r="B54" s="96" t="str">
        <f>VLOOKUP("Stk",Sprachindex!A:Z,Info!$O$6,FALSE)</f>
        <v>STK</v>
      </c>
      <c r="C54" s="95"/>
      <c r="D54" s="95">
        <f t="shared" si="1"/>
        <v>0</v>
      </c>
      <c r="E54" s="250" t="str">
        <f>VLOOKUP("Sailerklemmen, doppelt ",Sprachindex!A:Z,Info!$O$6,FALSE)</f>
        <v xml:space="preserve">Sailerklemmen, doppelt </v>
      </c>
      <c r="F54" s="251"/>
      <c r="G54" s="251"/>
      <c r="H54" s="251"/>
      <c r="I54" s="251"/>
      <c r="J54" s="251"/>
      <c r="K54" s="257"/>
      <c r="L54" s="96" t="str">
        <f t="shared" si="0"/>
        <v/>
      </c>
      <c r="M54" s="130"/>
      <c r="N54" s="87"/>
      <c r="O54" s="1"/>
      <c r="P54" s="191" t="str">
        <f>ROUNDUP($A54/40,0)*40 &amp;" " &amp; Formeln!$A$111</f>
        <v>0 STK</v>
      </c>
      <c r="Q54" s="191" t="str">
        <f>ROUNDUP($A54,0) &amp;" " &amp; Formeln!$A$111</f>
        <v>0 STK</v>
      </c>
      <c r="T54" s="64">
        <v>120213</v>
      </c>
      <c r="U54" s="64">
        <v>120210</v>
      </c>
      <c r="V54" s="64">
        <v>120218</v>
      </c>
      <c r="W54" s="64">
        <v>120215</v>
      </c>
      <c r="X54" s="64">
        <v>120211</v>
      </c>
      <c r="Y54" s="64">
        <v>120212</v>
      </c>
      <c r="Z54" s="64">
        <v>120214</v>
      </c>
      <c r="AA54" s="64">
        <v>120216</v>
      </c>
      <c r="AB54" s="64">
        <v>120217</v>
      </c>
      <c r="AC54" s="64">
        <v>121110</v>
      </c>
      <c r="AD54" s="64">
        <v>121111</v>
      </c>
      <c r="AE54" s="64">
        <v>649521</v>
      </c>
      <c r="AF54" s="64">
        <v>649549</v>
      </c>
      <c r="AG54" s="64">
        <v>121113</v>
      </c>
      <c r="AH54" s="64"/>
      <c r="AI54" s="64">
        <v>121114</v>
      </c>
      <c r="AJ54" s="64" t="s">
        <v>340</v>
      </c>
      <c r="AK54" s="64" t="s">
        <v>341</v>
      </c>
      <c r="AL54" s="64" t="s">
        <v>342</v>
      </c>
      <c r="AO54" s="64"/>
    </row>
    <row r="55" spans="1:77" ht="32.1" customHeight="1">
      <c r="A55" s="118"/>
      <c r="B55" s="96" t="str">
        <f>VLOOKUP("lfm",Sprachindex!A:Z,Info!$O$6,FALSE)</f>
        <v>lfm</v>
      </c>
      <c r="C55" s="95"/>
      <c r="D55" s="95">
        <f t="shared" si="1"/>
        <v>0</v>
      </c>
      <c r="E55" s="250" t="str">
        <f>VLOOKUP("Rohr 28x2, 3m, für Sailerklemmen, inkl. Verbindungsmuffe",Sprachindex!A:Z,Info!$O$6,FALSE)</f>
        <v>Rohr 28x2, 3m, für Sailerklemmen, inkl. Verbindungsmuffe</v>
      </c>
      <c r="F55" s="251"/>
      <c r="G55" s="251"/>
      <c r="H55" s="251"/>
      <c r="I55" s="251"/>
      <c r="J55" s="251"/>
      <c r="K55" s="257"/>
      <c r="L55" s="96" t="str">
        <f t="shared" si="0"/>
        <v/>
      </c>
      <c r="M55" s="130"/>
      <c r="N55" s="87"/>
      <c r="O55" s="1"/>
      <c r="P55" s="191" t="str">
        <f>ROUNDUP($A55/3,0)*3 &amp;" " &amp; Formeln!$A$112</f>
        <v>0 lfm</v>
      </c>
      <c r="Q55" s="191" t="str">
        <f>ROUNDUP($A55/3,0)*3 &amp;" " &amp; Formeln!$A$112</f>
        <v>0 lfm</v>
      </c>
      <c r="T55" s="64">
        <v>120323</v>
      </c>
      <c r="U55" s="64">
        <v>120320</v>
      </c>
      <c r="V55" s="64">
        <v>120328</v>
      </c>
      <c r="W55" s="64">
        <v>120325</v>
      </c>
      <c r="X55" s="64">
        <v>120321</v>
      </c>
      <c r="Y55" s="64">
        <v>120322</v>
      </c>
      <c r="Z55" s="64">
        <v>120324</v>
      </c>
      <c r="AA55" s="64">
        <v>120326</v>
      </c>
      <c r="AB55" s="64">
        <v>120327</v>
      </c>
      <c r="AC55" s="64">
        <v>121130</v>
      </c>
      <c r="AD55" s="64">
        <v>121131</v>
      </c>
      <c r="AE55" s="64">
        <v>669503</v>
      </c>
      <c r="AF55" s="64">
        <v>669516</v>
      </c>
      <c r="AG55" s="64">
        <v>121133</v>
      </c>
      <c r="AH55" s="64"/>
      <c r="AI55" s="64" t="s">
        <v>343</v>
      </c>
      <c r="AJ55" s="64" t="s">
        <v>344</v>
      </c>
      <c r="AK55" s="64" t="s">
        <v>345</v>
      </c>
      <c r="AL55" s="64" t="s">
        <v>346</v>
      </c>
    </row>
    <row r="56" spans="1:77" ht="32.1" customHeight="1">
      <c r="A56" s="118"/>
      <c r="B56" s="96" t="str">
        <f>VLOOKUP("Stk",Sprachindex!A:Z,Info!$O$6,FALSE)</f>
        <v>STK</v>
      </c>
      <c r="C56" s="95"/>
      <c r="D56" s="95">
        <f t="shared" si="1"/>
        <v>0</v>
      </c>
      <c r="E56" s="250" t="str">
        <f>VLOOKUP("Eckverbinder für Rohr 28",Sprachindex!A:Z,Info!$O$6,FALSE)</f>
        <v>Eckverbinder für Rohr 28</v>
      </c>
      <c r="F56" s="251"/>
      <c r="G56" s="251"/>
      <c r="H56" s="251"/>
      <c r="I56" s="251"/>
      <c r="J56" s="251"/>
      <c r="K56" s="257"/>
      <c r="L56" s="96" t="str">
        <f t="shared" si="0"/>
        <v/>
      </c>
      <c r="M56" s="130"/>
      <c r="N56" s="87"/>
      <c r="O56" s="1"/>
      <c r="P56" s="191" t="str">
        <f>ROUNDUP($A56/20,0)*20 &amp;" " &amp; Formeln!$A$111</f>
        <v>0 STK</v>
      </c>
      <c r="Q56" s="191" t="str">
        <f>ROUNDUP($A56,0) &amp;" " &amp; Formeln!$A$111</f>
        <v>0 STK</v>
      </c>
      <c r="T56" s="64">
        <v>120373</v>
      </c>
      <c r="U56" s="64">
        <v>120370</v>
      </c>
      <c r="V56" s="64">
        <v>120378</v>
      </c>
      <c r="W56" s="64">
        <v>120375</v>
      </c>
      <c r="X56" s="64">
        <v>120371</v>
      </c>
      <c r="Y56" s="64">
        <v>120372</v>
      </c>
      <c r="Z56" s="64">
        <v>120374</v>
      </c>
      <c r="AA56" s="64">
        <v>120376</v>
      </c>
      <c r="AB56" s="64">
        <v>120377</v>
      </c>
      <c r="AC56" s="64">
        <v>121150</v>
      </c>
      <c r="AD56" s="64">
        <v>121151</v>
      </c>
      <c r="AE56" s="64">
        <v>537150</v>
      </c>
      <c r="AF56" s="64">
        <v>537157</v>
      </c>
      <c r="AG56" s="64" t="s">
        <v>347</v>
      </c>
      <c r="AH56" s="64"/>
      <c r="AI56" s="64" t="s">
        <v>348</v>
      </c>
      <c r="AJ56" s="64" t="s">
        <v>349</v>
      </c>
      <c r="AK56" s="64" t="s">
        <v>350</v>
      </c>
      <c r="AL56" s="64" t="s">
        <v>351</v>
      </c>
    </row>
    <row r="57" spans="1:77" ht="32.1" customHeight="1">
      <c r="A57" s="118"/>
      <c r="B57" s="96" t="str">
        <f>VLOOKUP("Stk",Sprachindex!A:Z,Info!$O$6,FALSE)</f>
        <v>STK</v>
      </c>
      <c r="C57" s="95"/>
      <c r="D57" s="95">
        <f t="shared" si="1"/>
        <v>0</v>
      </c>
      <c r="E57" s="250" t="str">
        <f>VLOOKUP("Eisfänger für Rundrohr 28x2 ",Sprachindex!A:Z,Info!$O$6,FALSE)</f>
        <v xml:space="preserve">Eisfänger für Rundrohr 28x2 </v>
      </c>
      <c r="F57" s="251"/>
      <c r="G57" s="251"/>
      <c r="H57" s="251"/>
      <c r="I57" s="251"/>
      <c r="J57" s="251"/>
      <c r="K57" s="257"/>
      <c r="L57" s="96" t="str">
        <f t="shared" si="0"/>
        <v/>
      </c>
      <c r="M57" s="130"/>
      <c r="N57" s="87"/>
      <c r="O57" s="1"/>
      <c r="P57" s="191" t="str">
        <f>ROUNDUP($A57/100,0)*100 &amp;" " &amp; Formeln!$A$111</f>
        <v>0 STK</v>
      </c>
      <c r="Q57" s="191" t="str">
        <f>ROUNDUP($A57,0) &amp;" " &amp; Formeln!$A$111</f>
        <v>0 STK</v>
      </c>
      <c r="T57" s="64">
        <v>120343</v>
      </c>
      <c r="U57" s="64">
        <v>120340</v>
      </c>
      <c r="V57" s="64">
        <v>120348</v>
      </c>
      <c r="W57" s="64">
        <v>120345</v>
      </c>
      <c r="X57" s="64">
        <v>120341</v>
      </c>
      <c r="Y57" s="64">
        <v>120342</v>
      </c>
      <c r="Z57" s="64">
        <v>120344</v>
      </c>
      <c r="AA57" s="64">
        <v>120346</v>
      </c>
      <c r="AB57" s="64">
        <v>120347</v>
      </c>
      <c r="AC57" s="64">
        <v>121160</v>
      </c>
      <c r="AD57" s="64">
        <v>121161</v>
      </c>
      <c r="AE57" s="64">
        <v>649600</v>
      </c>
      <c r="AF57" s="64">
        <v>649614</v>
      </c>
      <c r="AG57" s="64" t="s">
        <v>352</v>
      </c>
      <c r="AH57" s="64"/>
      <c r="AI57" s="64" t="s">
        <v>353</v>
      </c>
      <c r="AJ57" s="64" t="s">
        <v>354</v>
      </c>
      <c r="AK57" s="64" t="s">
        <v>355</v>
      </c>
      <c r="AL57" s="64" t="s">
        <v>356</v>
      </c>
    </row>
    <row r="58" spans="1:77" ht="32.1" customHeight="1">
      <c r="A58" s="118"/>
      <c r="B58" s="96" t="str">
        <f>VLOOKUP("Stk",Sprachindex!A:Z,Info!$O$6,FALSE)</f>
        <v>STK</v>
      </c>
      <c r="C58" s="95"/>
      <c r="D58" s="95">
        <f t="shared" si="1"/>
        <v>0</v>
      </c>
      <c r="E58" s="250" t="str">
        <f>VLOOKUP("Laufstegstütze f. Stehfalz, inkl. Befestigung",Sprachindex!A:Z,Info!$O$6,FALSE)</f>
        <v>Laufstegstütze f. Stehfalz, inkl. Befestigung</v>
      </c>
      <c r="F58" s="251"/>
      <c r="G58" s="251"/>
      <c r="H58" s="251"/>
      <c r="I58" s="251"/>
      <c r="J58" s="251"/>
      <c r="K58" s="257"/>
      <c r="L58" s="96" t="str">
        <f t="shared" si="0"/>
        <v/>
      </c>
      <c r="M58" s="130"/>
      <c r="N58" s="87"/>
      <c r="O58" s="1"/>
      <c r="P58" s="191" t="str">
        <f>ROUNDUP($A58/4,0)*4 &amp;" " &amp; Formeln!$A$111</f>
        <v>0 STK</v>
      </c>
      <c r="Q58" s="191" t="str">
        <f>ROUNDUP($A58,0) &amp;" " &amp; Formeln!$A$111</f>
        <v>0 STK</v>
      </c>
      <c r="T58" s="64">
        <v>120053</v>
      </c>
      <c r="U58" s="64">
        <v>120050</v>
      </c>
      <c r="V58" s="64">
        <v>120058</v>
      </c>
      <c r="W58" s="64">
        <v>120055</v>
      </c>
      <c r="X58" s="64">
        <v>120051</v>
      </c>
      <c r="Y58" s="64">
        <v>120052</v>
      </c>
      <c r="Z58" s="64">
        <v>120054</v>
      </c>
      <c r="AA58" s="64">
        <v>120056</v>
      </c>
      <c r="AB58" s="64">
        <v>120057</v>
      </c>
      <c r="AC58" s="64">
        <v>121090</v>
      </c>
      <c r="AD58" s="64">
        <v>121091</v>
      </c>
      <c r="AE58" s="64">
        <v>649280</v>
      </c>
      <c r="AF58" s="64">
        <v>649294</v>
      </c>
      <c r="AG58" s="64" t="s">
        <v>357</v>
      </c>
      <c r="AH58" s="64"/>
      <c r="AI58" s="64" t="s">
        <v>358</v>
      </c>
      <c r="AJ58" s="64" t="s">
        <v>359</v>
      </c>
      <c r="AK58" s="64" t="s">
        <v>360</v>
      </c>
      <c r="AL58" s="64" t="s">
        <v>361</v>
      </c>
    </row>
    <row r="59" spans="1:77" ht="32.1" customHeight="1">
      <c r="A59" s="118"/>
      <c r="B59" s="96" t="str">
        <f>VLOOKUP("Stk",Sprachindex!A:Z,Info!$O$6,FALSE)</f>
        <v>STK</v>
      </c>
      <c r="C59" s="95"/>
      <c r="D59" s="95">
        <f>IF($N$21=1,T59,IF($N$21=2,U59,IF($N$21=3,V59,IF($N$21=4,W59,IF($N$21=5,X59,IF($N$21=6,Y59,IF($N$21=7,Z59,IF($N$21=8,AA59,IF($N$21=9,AB59,IF($N$21=10,AC59,IF($N$21=11,AD59,IF($N$21=12,AE59,IF($N$21=13,AF59,IF($N$21=14,AG59,IF($N$21=15,AH59,IF($N$21=16,AI59,IF($N$21=17,AJ59,0)))))))))))))))))</f>
        <v>0</v>
      </c>
      <c r="E59" s="250" t="str">
        <f>VLOOKUP("Laufsteg 250x1200mm, inkl. Befestigung ",Sprachindex!A:Z,Info!$O$6,FALSE)</f>
        <v xml:space="preserve">Laufsteg 250x1200mm, inkl. Befestigung </v>
      </c>
      <c r="F59" s="251"/>
      <c r="G59" s="251"/>
      <c r="H59" s="251"/>
      <c r="I59" s="251"/>
      <c r="J59" s="251"/>
      <c r="K59" s="257"/>
      <c r="L59" s="96" t="str">
        <f t="shared" si="0"/>
        <v/>
      </c>
      <c r="M59" s="130"/>
      <c r="N59" s="87"/>
      <c r="O59" s="1"/>
      <c r="P59" s="191" t="str">
        <f>ROUNDUP($A59,0) &amp;" " &amp; Formeln!$A$111</f>
        <v>0 STK</v>
      </c>
      <c r="Q59" s="191" t="str">
        <f>ROUNDUP($A59,0) &amp;" " &amp; Formeln!$A$111</f>
        <v>0 STK</v>
      </c>
      <c r="T59" s="64">
        <v>120033</v>
      </c>
      <c r="U59" s="64">
        <v>120030</v>
      </c>
      <c r="V59" s="64">
        <v>120038</v>
      </c>
      <c r="W59" s="64">
        <v>120035</v>
      </c>
      <c r="X59" s="64">
        <v>120031</v>
      </c>
      <c r="Y59" s="64">
        <v>120032</v>
      </c>
      <c r="Z59" s="64">
        <v>120034</v>
      </c>
      <c r="AA59" s="64">
        <v>120036</v>
      </c>
      <c r="AB59" s="64">
        <v>120037</v>
      </c>
      <c r="AC59" s="64">
        <v>121080</v>
      </c>
      <c r="AD59" s="64">
        <v>121081</v>
      </c>
      <c r="AE59" s="64">
        <v>649221</v>
      </c>
      <c r="AF59" s="64">
        <v>649253</v>
      </c>
      <c r="AG59" s="64"/>
      <c r="AH59" s="64"/>
      <c r="AI59" s="64"/>
      <c r="AJ59" s="64" t="s">
        <v>362</v>
      </c>
      <c r="AK59" s="64"/>
      <c r="AL59" s="64"/>
    </row>
    <row r="60" spans="1:77" ht="32.1" customHeight="1">
      <c r="A60" s="118"/>
      <c r="B60" s="96" t="str">
        <f>VLOOKUP("Stk",Sprachindex!A:Z,Info!$O$6,FALSE)</f>
        <v>STK</v>
      </c>
      <c r="C60" s="95"/>
      <c r="D60" s="95">
        <f>IF($N$21=1,T60,IF($N$21=2,U60,IF($N$21=3,V60,IF($N$21=4,W60,IF($N$21=5,X60,IF($N$21=6,Y60,IF($N$21=7,Z60,IF($N$21=8,AA60,IF($N$21=9,AB60,IF($N$21=10,AC60,IF($N$21=11,AD60,IF($N$21=12,AE60,IF($N$21=13,AF60,IF($N$21=14,AG60,IF($N$21=15,AH60,IF($N$21=16,AI60,IF($N$21=17,AJ60,IF($N$21=18,AK60,IF($N$21=19,AL60,0)))))))))))))))))))</f>
        <v>0</v>
      </c>
      <c r="E60" s="250" t="str">
        <f>VLOOKUP("Laufsteg 250x800mm, inkl. Befestigung ",Sprachindex!A:Z,Info!$O$6,FALSE)</f>
        <v xml:space="preserve">Laufsteg 250x800mm, inkl. Befestigung </v>
      </c>
      <c r="F60" s="251"/>
      <c r="G60" s="251"/>
      <c r="H60" s="251"/>
      <c r="I60" s="251"/>
      <c r="J60" s="251"/>
      <c r="K60" s="257"/>
      <c r="L60" s="96" t="str">
        <f t="shared" si="0"/>
        <v/>
      </c>
      <c r="M60" s="130"/>
      <c r="N60" s="87"/>
      <c r="O60" s="1"/>
      <c r="P60" s="191" t="str">
        <f>ROUNDUP($A60,0) &amp;" " &amp; Formeln!$A$111</f>
        <v>0 STK</v>
      </c>
      <c r="Q60" s="191" t="str">
        <f>ROUNDUP($A60,0) &amp;" " &amp; Formeln!$A$111</f>
        <v>0 STK</v>
      </c>
      <c r="T60" s="64">
        <v>120023</v>
      </c>
      <c r="U60" s="64">
        <v>120020</v>
      </c>
      <c r="V60" s="64">
        <v>120028</v>
      </c>
      <c r="W60" s="64">
        <v>120025</v>
      </c>
      <c r="X60" s="64">
        <v>120021</v>
      </c>
      <c r="Y60" s="64">
        <v>120022</v>
      </c>
      <c r="Z60" s="64">
        <v>120024</v>
      </c>
      <c r="AA60" s="64">
        <v>120026</v>
      </c>
      <c r="AB60" s="64">
        <v>120027</v>
      </c>
      <c r="AC60" s="64">
        <v>121070</v>
      </c>
      <c r="AD60" s="64">
        <v>121071</v>
      </c>
      <c r="AE60" s="64">
        <v>649050</v>
      </c>
      <c r="AF60" s="64">
        <v>649064</v>
      </c>
      <c r="AG60" s="64" t="s">
        <v>363</v>
      </c>
      <c r="AH60" s="64"/>
      <c r="AI60" s="64" t="s">
        <v>364</v>
      </c>
      <c r="AJ60" s="64" t="s">
        <v>365</v>
      </c>
      <c r="AK60" s="64" t="s">
        <v>366</v>
      </c>
      <c r="AL60" s="64" t="s">
        <v>367</v>
      </c>
    </row>
    <row r="61" spans="1:77" ht="32.1" customHeight="1">
      <c r="A61" s="118"/>
      <c r="B61" s="96" t="str">
        <f>VLOOKUP("Stk",Sprachindex!A:Z,Info!$O$6,FALSE)</f>
        <v>STK</v>
      </c>
      <c r="C61" s="95"/>
      <c r="D61" s="95">
        <f>IF($N$21=1,T61,IF($N$21=2,U61,IF($N$21=3,V61,IF($N$21=4,W61,IF($N$21=5,X61,IF($N$21=6,Y61,IF($N$21=7,Z61,IF($N$21=8,AA61,IF($N$21=9,AB61,IF($N$21=10,AC61,IF($N$21=11,AD61,IF($N$21=12,AE61,IF($N$21=13,AF61,IF($N$21=14,AG61,IF($N$21=15,AH61,IF($N$21=16,AI61,IF($N$21=17,AJ61,0)))))))))))))))))</f>
        <v>0</v>
      </c>
      <c r="E61" s="250" t="str">
        <f>VLOOKUP("Laufsteg 250x600mm, inkl. Befestigung ",Sprachindex!A:Z,Info!$O$6,FALSE)</f>
        <v xml:space="preserve">Laufsteg 250x600mm, inkl. Befestigung </v>
      </c>
      <c r="F61" s="251"/>
      <c r="G61" s="251"/>
      <c r="H61" s="251"/>
      <c r="I61" s="251"/>
      <c r="J61" s="251"/>
      <c r="K61" s="257"/>
      <c r="L61" s="96" t="str">
        <f t="shared" si="0"/>
        <v/>
      </c>
      <c r="M61" s="130"/>
      <c r="N61" s="87"/>
      <c r="O61" s="1"/>
      <c r="P61" s="191" t="str">
        <f>ROUNDUP($A61,0) &amp;" " &amp; Formeln!$A$111</f>
        <v>0 STK</v>
      </c>
      <c r="Q61" s="191" t="str">
        <f>ROUNDUP($A61,0) &amp;" " &amp; Formeln!$A$111</f>
        <v>0 STK</v>
      </c>
      <c r="T61" s="64">
        <v>120063</v>
      </c>
      <c r="U61" s="64">
        <v>120060</v>
      </c>
      <c r="V61" s="64">
        <v>120068</v>
      </c>
      <c r="W61" s="64">
        <v>120065</v>
      </c>
      <c r="X61" s="64">
        <v>120061</v>
      </c>
      <c r="Y61" s="64">
        <v>120062</v>
      </c>
      <c r="Z61" s="64">
        <v>120064</v>
      </c>
      <c r="AA61" s="64">
        <v>120066</v>
      </c>
      <c r="AB61" s="64">
        <v>120067</v>
      </c>
      <c r="AC61" s="64">
        <v>121060</v>
      </c>
      <c r="AD61" s="64">
        <v>121061</v>
      </c>
      <c r="AE61" s="64">
        <v>649070</v>
      </c>
      <c r="AF61" s="64">
        <v>649077</v>
      </c>
      <c r="AG61" s="64"/>
      <c r="AH61" s="64"/>
      <c r="AI61" s="64"/>
      <c r="AJ61" s="64" t="s">
        <v>368</v>
      </c>
      <c r="AK61" s="64"/>
      <c r="AL61" s="64"/>
    </row>
    <row r="62" spans="1:77" ht="32.1" customHeight="1" thickBot="1">
      <c r="A62" s="118"/>
      <c r="B62" s="96" t="str">
        <f>VLOOKUP("Stk",Sprachindex!A:Z,Info!$O$6,FALSE)</f>
        <v>STK</v>
      </c>
      <c r="C62" s="95"/>
      <c r="D62" s="100">
        <v>649001</v>
      </c>
      <c r="E62" s="250" t="str">
        <f>VLOOKUP("Verbinder verzinkt für Laufsteg",Sprachindex!A:Z,Info!$O$6,FALSE)</f>
        <v>Verbinder verzinkt für Laufsteg</v>
      </c>
      <c r="F62" s="251"/>
      <c r="G62" s="251"/>
      <c r="H62" s="251"/>
      <c r="I62" s="251"/>
      <c r="J62" s="251"/>
      <c r="K62" s="257"/>
      <c r="L62" s="96" t="str">
        <f t="shared" si="0"/>
        <v/>
      </c>
      <c r="M62" s="130"/>
      <c r="N62" s="87"/>
      <c r="O62" s="1"/>
      <c r="P62" s="191" t="str">
        <f>ROUNDUP($A62,0) &amp;" " &amp; Formeln!$A$111</f>
        <v>0 STK</v>
      </c>
      <c r="Q62" s="191" t="str">
        <f>ROUNDUP($A62,0) &amp;" " &amp; Formeln!$A$111</f>
        <v>0 STK</v>
      </c>
    </row>
    <row r="63" spans="1:77" ht="32.1" customHeight="1" thickBot="1">
      <c r="A63" s="118"/>
      <c r="B63" s="96" t="str">
        <f>VLOOKUP("Stk",Sprachindex!A:Z,Info!$O$6,FALSE)</f>
        <v>STK</v>
      </c>
      <c r="C63" s="95"/>
      <c r="D63" s="100">
        <v>635670</v>
      </c>
      <c r="E63" s="250" t="str">
        <f>VLOOKUP("Sicherheitsdachhaken nach EN 517 B, SDH-Industry 31",Sprachindex!A:Z,Info!$O$6,FALSE)</f>
        <v>Sicherheitsdachhaken nach EN 517 B, SDH-Industry 31</v>
      </c>
      <c r="F63" s="251"/>
      <c r="G63" s="251"/>
      <c r="H63" s="251"/>
      <c r="I63" s="251"/>
      <c r="J63" s="251"/>
      <c r="K63" s="257"/>
      <c r="L63" s="96" t="str">
        <f t="shared" si="0"/>
        <v/>
      </c>
      <c r="M63" s="130"/>
      <c r="N63" s="87"/>
      <c r="O63" s="1"/>
      <c r="P63" s="191" t="str">
        <f>ROUNDUP($A63,0) &amp;" " &amp; Formeln!$A$111</f>
        <v>0 STK</v>
      </c>
      <c r="Q63" s="191" t="str">
        <f>ROUNDUP($A63,0) &amp;" " &amp; Formeln!$A$111</f>
        <v>0 STK</v>
      </c>
      <c r="T63" s="58" t="s">
        <v>74</v>
      </c>
      <c r="U63" s="59" t="s">
        <v>75</v>
      </c>
      <c r="V63" s="59" t="s">
        <v>76</v>
      </c>
      <c r="W63" s="59" t="s">
        <v>77</v>
      </c>
      <c r="X63" s="59" t="s">
        <v>78</v>
      </c>
      <c r="Y63" s="59" t="s">
        <v>79</v>
      </c>
      <c r="Z63" s="59" t="s">
        <v>80</v>
      </c>
      <c r="AA63" s="59" t="s">
        <v>81</v>
      </c>
      <c r="AB63" s="59" t="s">
        <v>82</v>
      </c>
      <c r="AC63" s="59" t="s">
        <v>83</v>
      </c>
      <c r="AD63" s="59" t="s">
        <v>84</v>
      </c>
      <c r="AE63" s="59" t="s">
        <v>48</v>
      </c>
      <c r="AF63" s="59" t="s">
        <v>85</v>
      </c>
      <c r="AG63" s="59" t="s">
        <v>86</v>
      </c>
      <c r="AH63" s="59" t="s">
        <v>87</v>
      </c>
      <c r="AI63" s="59" t="s">
        <v>88</v>
      </c>
      <c r="AJ63" s="60" t="s">
        <v>89</v>
      </c>
      <c r="AK63" s="60" t="s">
        <v>90</v>
      </c>
      <c r="AL63" s="60" t="s">
        <v>91</v>
      </c>
      <c r="AO63" s="49" t="s">
        <v>30</v>
      </c>
      <c r="AP63" s="49" t="s">
        <v>31</v>
      </c>
      <c r="AQ63" s="49" t="s">
        <v>32</v>
      </c>
      <c r="AR63" s="49" t="s">
        <v>33</v>
      </c>
      <c r="AS63" s="49" t="s">
        <v>34</v>
      </c>
      <c r="AT63" s="49" t="s">
        <v>35</v>
      </c>
      <c r="AU63" s="49" t="s">
        <v>36</v>
      </c>
      <c r="AV63" s="49" t="s">
        <v>37</v>
      </c>
      <c r="AW63" s="49" t="s">
        <v>48</v>
      </c>
    </row>
    <row r="64" spans="1:77" ht="32.1" customHeight="1">
      <c r="A64" s="118"/>
      <c r="B64" s="96" t="str">
        <f>VLOOKUP("Stk",Sprachindex!A:Z,Info!$O$6,FALSE)</f>
        <v>STK</v>
      </c>
      <c r="C64" s="95"/>
      <c r="D64" s="95">
        <f t="shared" ref="D64:D69" si="2">IF($N$21=1,T64,IF($N$21=2,U64,IF($N$21=3,V64,IF($N$21=4,W64,IF($N$21=5,X64,IF($N$21=6,Y64,IF($N$21=7,Z64,IF($N$21=8,AA64,IF($N$21=9,AB64,IF($N$21=10,AC64,IF($N$21=11,AD64,IF($N$21=12,AE64,IF($N$21=13,AF64,IF($N$21=14,AG64,IF($N$21=15,AH64,IF($N$21=16,AI64,IF($N$21=17,AJ64,0)))))))))))))))))</f>
        <v>0</v>
      </c>
      <c r="E64" s="250" t="str">
        <f>VLOOKUP("Kaminhut, inkl. Kaminstreben, 700x700mm",Sprachindex!A:Z,Info!$O$6,FALSE)</f>
        <v>Kaminhut, inkl. Kaminstreben, 700x700mm</v>
      </c>
      <c r="F64" s="251"/>
      <c r="G64" s="251"/>
      <c r="H64" s="251"/>
      <c r="I64" s="251"/>
      <c r="J64" s="251"/>
      <c r="K64" s="257"/>
      <c r="L64" s="96" t="str">
        <f t="shared" si="0"/>
        <v/>
      </c>
      <c r="M64" s="130"/>
      <c r="N64" s="87"/>
      <c r="O64" s="1"/>
      <c r="P64" s="191" t="str">
        <f>ROUNDUP($A64,0) &amp;" " &amp; Formeln!$A$111</f>
        <v>0 STK</v>
      </c>
      <c r="Q64" s="191" t="str">
        <f>ROUNDUP($A64,0) &amp;" " &amp; Formeln!$A$111</f>
        <v>0 STK</v>
      </c>
      <c r="T64" s="64">
        <v>110423</v>
      </c>
      <c r="U64" s="64">
        <v>110420</v>
      </c>
      <c r="V64" s="64">
        <v>110428</v>
      </c>
      <c r="W64" s="64">
        <v>110425</v>
      </c>
      <c r="X64" s="64">
        <v>110421</v>
      </c>
      <c r="Y64" s="64">
        <v>110422</v>
      </c>
      <c r="Z64" s="64">
        <v>110424</v>
      </c>
      <c r="AA64" s="64">
        <v>110426</v>
      </c>
      <c r="AB64" s="64">
        <v>110427</v>
      </c>
      <c r="AC64" s="64"/>
      <c r="AD64" s="64"/>
      <c r="AE64" s="64">
        <v>545001</v>
      </c>
    </row>
    <row r="65" spans="1:38" ht="32.1" customHeight="1">
      <c r="A65" s="118"/>
      <c r="B65" s="96" t="str">
        <f>VLOOKUP("Stk",Sprachindex!A:Z,Info!$O$6,FALSE)</f>
        <v>STK</v>
      </c>
      <c r="C65" s="95"/>
      <c r="D65" s="95">
        <f t="shared" si="2"/>
        <v>0</v>
      </c>
      <c r="E65" s="250" t="str">
        <f>VLOOKUP("Kaminhut, inkl. Kaminstreben, 800x800mm",Sprachindex!A:Z,Info!$O$6,FALSE)</f>
        <v>Kaminhut, inkl. Kaminstreben, 800x800mm</v>
      </c>
      <c r="F65" s="251"/>
      <c r="G65" s="251"/>
      <c r="H65" s="251"/>
      <c r="I65" s="251"/>
      <c r="J65" s="251"/>
      <c r="K65" s="257"/>
      <c r="L65" s="96" t="str">
        <f t="shared" si="0"/>
        <v/>
      </c>
      <c r="M65" s="130"/>
      <c r="N65" s="87"/>
      <c r="O65" s="1"/>
      <c r="P65" s="191" t="str">
        <f>ROUNDUP($A65,0) &amp;" " &amp; Formeln!$A$111</f>
        <v>0 STK</v>
      </c>
      <c r="Q65" s="191" t="str">
        <f>ROUNDUP($A65,0) &amp;" " &amp; Formeln!$A$111</f>
        <v>0 STK</v>
      </c>
      <c r="T65" s="64">
        <v>110433</v>
      </c>
      <c r="U65" s="64">
        <v>110430</v>
      </c>
      <c r="V65" s="64">
        <v>110438</v>
      </c>
      <c r="W65" s="64">
        <v>110435</v>
      </c>
      <c r="X65" s="64">
        <v>110431</v>
      </c>
      <c r="Y65" s="64">
        <v>110432</v>
      </c>
      <c r="Z65" s="64">
        <v>110434</v>
      </c>
      <c r="AA65" s="64">
        <v>110436</v>
      </c>
      <c r="AB65" s="64">
        <v>110437</v>
      </c>
      <c r="AC65" s="64"/>
      <c r="AD65" s="64"/>
      <c r="AE65" s="64">
        <v>545012</v>
      </c>
    </row>
    <row r="66" spans="1:38" ht="32.1" customHeight="1">
      <c r="A66" s="118"/>
      <c r="B66" s="96" t="str">
        <f>VLOOKUP("Stk",Sprachindex!A:Z,Info!$O$6,FALSE)</f>
        <v>STK</v>
      </c>
      <c r="C66" s="95"/>
      <c r="D66" s="95">
        <f t="shared" si="2"/>
        <v>0</v>
      </c>
      <c r="E66" s="250" t="str">
        <f>VLOOKUP("Kaminhut, inkl. Kaminstreben, 1000x700mm",Sprachindex!A:Z,Info!$O$6,FALSE)</f>
        <v>Kaminhut, inkl. Kaminstreben, 1000x700mm</v>
      </c>
      <c r="F66" s="251"/>
      <c r="G66" s="251"/>
      <c r="H66" s="251"/>
      <c r="I66" s="251"/>
      <c r="J66" s="251"/>
      <c r="K66" s="257"/>
      <c r="L66" s="96" t="str">
        <f t="shared" si="0"/>
        <v/>
      </c>
      <c r="M66" s="130"/>
      <c r="N66" s="87"/>
      <c r="O66" s="1"/>
      <c r="P66" s="191" t="str">
        <f>ROUNDUP($A66,0) &amp;" " &amp; Formeln!$A$111</f>
        <v>0 STK</v>
      </c>
      <c r="Q66" s="191" t="str">
        <f>ROUNDUP($A66,0) &amp;" " &amp; Formeln!$A$111</f>
        <v>0 STK</v>
      </c>
      <c r="T66" s="64">
        <v>110443</v>
      </c>
      <c r="U66" s="64">
        <v>110440</v>
      </c>
      <c r="V66" s="64">
        <v>110448</v>
      </c>
      <c r="W66" s="64">
        <v>110445</v>
      </c>
      <c r="X66" s="64">
        <v>110441</v>
      </c>
      <c r="Y66" s="64">
        <v>110442</v>
      </c>
      <c r="Z66" s="64">
        <v>110444</v>
      </c>
      <c r="AA66" s="64">
        <v>110446</v>
      </c>
      <c r="AB66" s="64">
        <v>110447</v>
      </c>
      <c r="AC66" s="64"/>
      <c r="AD66" s="64"/>
      <c r="AE66" s="64">
        <v>545003</v>
      </c>
    </row>
    <row r="67" spans="1:38" ht="32.1" customHeight="1">
      <c r="A67" s="118"/>
      <c r="B67" s="96" t="str">
        <f>VLOOKUP("Stk",Sprachindex!A:Z,Info!$O$6,FALSE)</f>
        <v>STK</v>
      </c>
      <c r="C67" s="95"/>
      <c r="D67" s="95">
        <f t="shared" si="2"/>
        <v>0</v>
      </c>
      <c r="E67" s="250" t="str">
        <f>VLOOKUP("Kaminhut, inkl. Kaminstreben, 1100x800mm",Sprachindex!A:Z,Info!$O$6,FALSE)</f>
        <v>Kaminhut, inkl. Kaminstreben, 1100x800mm</v>
      </c>
      <c r="F67" s="251"/>
      <c r="G67" s="251"/>
      <c r="H67" s="251"/>
      <c r="I67" s="251"/>
      <c r="J67" s="251"/>
      <c r="K67" s="257"/>
      <c r="L67" s="96" t="str">
        <f t="shared" si="0"/>
        <v/>
      </c>
      <c r="M67" s="130"/>
      <c r="N67" s="87"/>
      <c r="O67" s="1"/>
      <c r="P67" s="191" t="str">
        <f>ROUNDUP($A67,0) &amp;" " &amp; Formeln!$A$111</f>
        <v>0 STK</v>
      </c>
      <c r="Q67" s="191" t="str">
        <f>ROUNDUP($A67,0) &amp;" " &amp; Formeln!$A$111</f>
        <v>0 STK</v>
      </c>
      <c r="T67" s="64">
        <v>110453</v>
      </c>
      <c r="U67" s="64">
        <v>110450</v>
      </c>
      <c r="V67" s="64">
        <v>110458</v>
      </c>
      <c r="W67" s="64">
        <v>110455</v>
      </c>
      <c r="X67" s="64">
        <v>110451</v>
      </c>
      <c r="Y67" s="64">
        <v>110452</v>
      </c>
      <c r="Z67" s="64">
        <v>110454</v>
      </c>
      <c r="AA67" s="64">
        <v>110456</v>
      </c>
      <c r="AB67" s="64">
        <v>110457</v>
      </c>
      <c r="AC67" s="64"/>
      <c r="AD67" s="64"/>
      <c r="AE67" s="64">
        <v>545016</v>
      </c>
    </row>
    <row r="68" spans="1:38" ht="32.1" customHeight="1">
      <c r="A68" s="118"/>
      <c r="B68" s="96" t="str">
        <f>VLOOKUP("Stk",Sprachindex!A:Z,Info!$O$6,FALSE)</f>
        <v>STK</v>
      </c>
      <c r="C68" s="95"/>
      <c r="D68" s="95">
        <f t="shared" si="2"/>
        <v>0</v>
      </c>
      <c r="E68" s="250" t="str">
        <f>VLOOKUP("Kaminhut, inkl. Kaminstreben, 1500x800mm",Sprachindex!A:Z,Info!$O$6,FALSE)</f>
        <v>Kaminhut, inkl. Kaminstreben, 1500x800mm</v>
      </c>
      <c r="F68" s="251"/>
      <c r="G68" s="251"/>
      <c r="H68" s="251"/>
      <c r="I68" s="251"/>
      <c r="J68" s="251"/>
      <c r="K68" s="257"/>
      <c r="L68" s="96" t="str">
        <f t="shared" si="0"/>
        <v/>
      </c>
      <c r="M68" s="130"/>
      <c r="N68" s="87"/>
      <c r="O68" s="1"/>
      <c r="P68" s="191" t="str">
        <f>ROUNDUP($A68,0) &amp;" " &amp; Formeln!$A$111</f>
        <v>0 STK</v>
      </c>
      <c r="Q68" s="191" t="str">
        <f>ROUNDUP($A68,0) &amp;" " &amp; Formeln!$A$111</f>
        <v>0 STK</v>
      </c>
      <c r="T68" s="64">
        <v>110463</v>
      </c>
      <c r="U68" s="64">
        <v>110460</v>
      </c>
      <c r="V68" s="64">
        <v>110468</v>
      </c>
      <c r="W68" s="64">
        <v>110465</v>
      </c>
      <c r="X68" s="64">
        <v>110461</v>
      </c>
      <c r="Y68" s="64">
        <v>110462</v>
      </c>
      <c r="Z68" s="64">
        <v>110464</v>
      </c>
      <c r="AA68" s="64">
        <v>110466</v>
      </c>
      <c r="AB68" s="64">
        <v>110467</v>
      </c>
      <c r="AC68" s="64"/>
      <c r="AD68" s="64"/>
      <c r="AE68" s="64">
        <v>545005</v>
      </c>
    </row>
    <row r="69" spans="1:38" ht="32.1" customHeight="1">
      <c r="A69" s="118"/>
      <c r="B69" s="96" t="str">
        <f>VLOOKUP("Stk",Sprachindex!A:Z,Info!$O$6,FALSE)</f>
        <v>STK</v>
      </c>
      <c r="C69" s="98"/>
      <c r="D69" s="95">
        <f t="shared" si="2"/>
        <v>0</v>
      </c>
      <c r="E69" s="250" t="str">
        <f>VLOOKUP("Kaminstreben, gebogen",Sprachindex!A:Z,Info!$O$6,FALSE)</f>
        <v>Kaminstreben, gebogen</v>
      </c>
      <c r="F69" s="251"/>
      <c r="G69" s="251"/>
      <c r="H69" s="251"/>
      <c r="I69" s="251"/>
      <c r="J69" s="251"/>
      <c r="K69" s="257"/>
      <c r="L69" s="96" t="str">
        <f t="shared" si="0"/>
        <v/>
      </c>
      <c r="M69" s="130"/>
      <c r="N69" s="87"/>
      <c r="O69" s="1"/>
      <c r="P69" s="191" t="str">
        <f>ROUNDUP($A69/10,0)*10 &amp;" " &amp; Formeln!$A$111</f>
        <v>0 STK</v>
      </c>
      <c r="Q69" s="191" t="str">
        <f>ROUNDUP($A69,0) &amp;" " &amp; Formeln!$A$111</f>
        <v>0 STK</v>
      </c>
      <c r="T69" s="64">
        <v>110413</v>
      </c>
      <c r="U69" s="64">
        <v>110410</v>
      </c>
      <c r="V69" s="64">
        <v>110418</v>
      </c>
      <c r="W69" s="64">
        <v>110415</v>
      </c>
      <c r="X69" s="64">
        <v>110411</v>
      </c>
      <c r="Y69" s="64">
        <v>110412</v>
      </c>
      <c r="Z69" s="64">
        <v>110414</v>
      </c>
      <c r="AA69" s="64">
        <v>110416</v>
      </c>
      <c r="AB69" s="64">
        <v>110417</v>
      </c>
      <c r="AC69" s="64"/>
      <c r="AD69" s="64"/>
      <c r="AE69" s="64">
        <v>537029</v>
      </c>
    </row>
    <row r="70" spans="1:38" ht="32.1" customHeight="1">
      <c r="A70" s="118"/>
      <c r="B70" s="96" t="str">
        <f>VLOOKUP("Stk",Sprachindex!A:Z,Info!$O$6,FALSE)</f>
        <v>STK</v>
      </c>
      <c r="C70" s="95"/>
      <c r="D70" s="95">
        <f>IF($N$21=1,T70,IF($N$21=2,U70,IF($N$21=3,V70,IF($N$21=4,W70,IF($N$21=5,X70,IF($N$21=6,Y70,IF($N$21=7,Z70,IF($N$21=8,AA70,IF($N$21=9,AB70,IF($N$21=10,AC70,IF($N$21=11,AD70,IF($N$21=12,AE70,IF($N$21=13,AF70,IF($N$21=14,AG70,IF($N$21=15,AH70,IF($N$21=16,AI70,IF($N$21=17,AJ70,IF($N$21=18,AK70,IF($N$21=19,AL70,0)))))))))))))))))))</f>
        <v>0</v>
      </c>
      <c r="E70" s="250" t="str">
        <f>VLOOKUP("Klebeeinfassung DM 50-65mm ",Sprachindex!A:Z,Info!$O$6,FALSE)</f>
        <v xml:space="preserve">Klebeeinfassung DM 50-65mm </v>
      </c>
      <c r="F70" s="251"/>
      <c r="G70" s="251"/>
      <c r="H70" s="251"/>
      <c r="I70" s="251"/>
      <c r="J70" s="251"/>
      <c r="K70" s="257"/>
      <c r="L70" s="96" t="str">
        <f t="shared" si="0"/>
        <v/>
      </c>
      <c r="M70" s="130"/>
      <c r="N70" s="87"/>
      <c r="O70" s="1"/>
      <c r="P70" s="191" t="str">
        <f>ROUNDUP($A70/2,0)*2 &amp;" " &amp; Formeln!$A$111</f>
        <v>0 STK</v>
      </c>
      <c r="Q70" s="191" t="str">
        <f>ROUNDUP($A70,0) &amp;" " &amp; Formeln!$A$111</f>
        <v>0 STK</v>
      </c>
      <c r="T70" s="180">
        <v>110273</v>
      </c>
      <c r="U70" s="180">
        <v>110270</v>
      </c>
      <c r="V70" s="180">
        <v>110278</v>
      </c>
      <c r="W70" s="180">
        <v>110275</v>
      </c>
      <c r="X70" s="180">
        <v>110271</v>
      </c>
      <c r="Y70" s="180">
        <v>110272</v>
      </c>
      <c r="Z70" s="180">
        <v>110274</v>
      </c>
      <c r="AA70" s="180">
        <v>110276</v>
      </c>
      <c r="AB70" s="180">
        <v>110277</v>
      </c>
      <c r="AC70" s="180">
        <v>121040</v>
      </c>
      <c r="AD70" s="180">
        <v>121041</v>
      </c>
      <c r="AE70" s="180">
        <v>513151</v>
      </c>
      <c r="AF70" s="180">
        <v>513188</v>
      </c>
      <c r="AG70" s="163">
        <v>121043</v>
      </c>
      <c r="AH70" s="163"/>
      <c r="AI70" s="163">
        <v>121044</v>
      </c>
      <c r="AJ70" s="163">
        <v>121042</v>
      </c>
      <c r="AK70" s="163">
        <v>121046</v>
      </c>
      <c r="AL70" s="163">
        <v>121045</v>
      </c>
    </row>
    <row r="71" spans="1:38" ht="32.1" customHeight="1">
      <c r="A71" s="118"/>
      <c r="B71" s="96" t="str">
        <f>VLOOKUP("Stk",Sprachindex!A:Z,Info!$O$6,FALSE)</f>
        <v>STK</v>
      </c>
      <c r="C71" s="95"/>
      <c r="D71" s="95">
        <f>IF($N$21=1,T71,IF($N$21=2,U71,IF($N$21=3,V71,IF($N$21=4,W71,IF($N$21=5,X71,IF($N$21=6,Y71,IF($N$21=7,Z71,IF($N$21=8,AA71,IF($N$21=9,AB71,IF($N$21=10,AC71,IF($N$21=11,AD71,IF($N$21=12,AE71,IF($N$21=13,AF71,IF($N$21=14,AG71,IF($N$21=15,AH71,IF($N$21=16,AI71,IF($N$21=17,AJ71,IF($N$21=18,AK71,IF($N$21=19,AL71,0)))))))))))))))))))</f>
        <v>0</v>
      </c>
      <c r="E71" s="250" t="str">
        <f>VLOOKUP("Klebeeinfassung DM 80-125mm",Sprachindex!A:Z,Info!$O$6,FALSE)</f>
        <v>Klebeeinfassung DM 80-125mm</v>
      </c>
      <c r="F71" s="251"/>
      <c r="G71" s="251"/>
      <c r="H71" s="251"/>
      <c r="I71" s="251"/>
      <c r="J71" s="251"/>
      <c r="K71" s="257"/>
      <c r="L71" s="96" t="str">
        <f t="shared" si="0"/>
        <v/>
      </c>
      <c r="M71" s="130"/>
      <c r="N71" s="87"/>
      <c r="O71" s="1"/>
      <c r="P71" s="191" t="str">
        <f>ROUNDUP($A71/5,0)*5 &amp;" " &amp; Formeln!$A$111</f>
        <v>0 STK</v>
      </c>
      <c r="Q71" s="191" t="str">
        <f>ROUNDUP($A71,0) &amp;" " &amp; Formeln!$A$111</f>
        <v>0 STK</v>
      </c>
      <c r="T71" s="180">
        <v>110263</v>
      </c>
      <c r="U71" s="180">
        <v>110260</v>
      </c>
      <c r="V71" s="180">
        <v>110268</v>
      </c>
      <c r="W71" s="180">
        <v>110265</v>
      </c>
      <c r="X71" s="180">
        <v>110261</v>
      </c>
      <c r="Y71" s="180">
        <v>110262</v>
      </c>
      <c r="Z71" s="180">
        <v>110264</v>
      </c>
      <c r="AA71" s="180">
        <v>110266</v>
      </c>
      <c r="AB71" s="180">
        <v>110267</v>
      </c>
      <c r="AC71" s="180">
        <v>121030</v>
      </c>
      <c r="AD71" s="180">
        <v>121031</v>
      </c>
      <c r="AE71" s="180">
        <v>513150</v>
      </c>
      <c r="AF71" s="180">
        <v>513168</v>
      </c>
      <c r="AG71" s="163">
        <v>121033</v>
      </c>
      <c r="AH71" s="163"/>
      <c r="AI71" s="163">
        <v>121034</v>
      </c>
      <c r="AJ71" s="163">
        <v>121032</v>
      </c>
      <c r="AK71" s="163">
        <v>121036</v>
      </c>
      <c r="AL71" s="163">
        <v>121035</v>
      </c>
    </row>
    <row r="72" spans="1:38" ht="32.1" customHeight="1">
      <c r="A72" s="118"/>
      <c r="B72" s="96" t="str">
        <f>VLOOKUP("Stk",Sprachindex!A:Z,Info!$O$6,FALSE)</f>
        <v>STK</v>
      </c>
      <c r="C72" s="95"/>
      <c r="D72" s="95">
        <f>IF($N$21=1,T72,IF($N$21=2,U72,IF($N$21=3,V72,IF($N$21=4,W72,IF($N$21=5,X72,IF($N$21=6,Y72,IF($N$21=7,Z72,IF($N$21=8,AA72,IF($N$21=9,AB72,IF($N$21=10,AC72,IF($N$21=11,AD72,IF($N$21=12,AE72,IF($N$21=13,AF72,IF($N$21=14,AG72,IF($N$21=15,AH72,IF($N$21=16,AI72,IF($N$21=17,AJ72,IF($N$21=18,AK72,IF($N$21=19,AL72,0)))))))))))))))))))</f>
        <v>0</v>
      </c>
      <c r="E72" s="250" t="str">
        <f>VLOOKUP("Klebeeinfassung DM 120-170mm",Sprachindex!A:Z,Info!$O$6,FALSE)</f>
        <v>Klebeeinfassung DM 120-170mm</v>
      </c>
      <c r="F72" s="251"/>
      <c r="G72" s="251"/>
      <c r="H72" s="251"/>
      <c r="I72" s="251"/>
      <c r="J72" s="251"/>
      <c r="K72" s="257"/>
      <c r="L72" s="96" t="str">
        <f t="shared" si="0"/>
        <v/>
      </c>
      <c r="M72" s="130"/>
      <c r="N72" s="87"/>
      <c r="O72" s="1"/>
      <c r="P72" s="191" t="str">
        <f>ROUNDUP($A72,0) &amp;" " &amp; Formeln!$A$111</f>
        <v>0 STK</v>
      </c>
      <c r="Q72" s="191" t="str">
        <f>ROUNDUP($A72,0) &amp;" " &amp; Formeln!$A$111</f>
        <v>0 STK</v>
      </c>
      <c r="T72" s="163"/>
      <c r="U72" s="163">
        <v>112500</v>
      </c>
      <c r="V72" s="163"/>
      <c r="W72" s="163"/>
      <c r="X72" s="163"/>
      <c r="Y72" s="163">
        <v>112502</v>
      </c>
      <c r="Z72" s="163"/>
      <c r="AA72" s="163"/>
      <c r="AB72" s="163"/>
      <c r="AC72" s="163"/>
      <c r="AD72" s="163"/>
      <c r="AE72" s="163">
        <v>513153</v>
      </c>
      <c r="AF72" s="163"/>
      <c r="AG72" s="163"/>
      <c r="AH72" s="163"/>
      <c r="AI72" s="163"/>
      <c r="AJ72" s="163"/>
      <c r="AK72" s="163"/>
    </row>
    <row r="73" spans="1:38" ht="32.1" customHeight="1">
      <c r="A73" s="118"/>
      <c r="B73" s="96" t="str">
        <f>VLOOKUP("Stk",Sprachindex!A:Z,Info!$O$6,FALSE)</f>
        <v>STK</v>
      </c>
      <c r="C73" s="95"/>
      <c r="D73" s="95">
        <f>IF($N$21=1,T73,IF($N$21=2,U73,IF($N$21=3,V73,IF($N$21=4,W73,IF($N$21=5,X73,IF($N$21=6,Y73,IF($N$21=7,Z73,IF($N$21=8,AA73,IF($N$21=9,AB73,IF($N$21=10,AC73,IF($N$21=11,AD73,IF($N$21=12,AE73,IF($N$21=13,AF73,IF($N$21=14,AG73,IF($N$21=15,AH73,IF($N$21=16,AI73,IF($N$21=17,AJ73,IF($N$21=18,AK73,IF($N$21=19,AL73,0)))))))))))))))))))</f>
        <v>0</v>
      </c>
      <c r="E73" s="250" t="str">
        <f>VLOOKUP("Klebeeinfassung DM 170-210mm",Sprachindex!A:Z,Info!$O$6,FALSE)</f>
        <v>Klebeeinfassung DM 170-210mm</v>
      </c>
      <c r="F73" s="251"/>
      <c r="G73" s="251"/>
      <c r="H73" s="251"/>
      <c r="I73" s="251"/>
      <c r="J73" s="251"/>
      <c r="K73" s="257"/>
      <c r="L73" s="96" t="str">
        <f t="shared" si="0"/>
        <v/>
      </c>
      <c r="M73" s="130"/>
      <c r="N73" s="87"/>
      <c r="O73" s="1"/>
      <c r="P73" s="191" t="str">
        <f>ROUNDUP($A73,0) &amp;" " &amp; Formeln!$A$111</f>
        <v>0 STK</v>
      </c>
      <c r="Q73" s="191" t="str">
        <f>ROUNDUP($A73,0) &amp;" " &amp; Formeln!$A$111</f>
        <v>0 STK</v>
      </c>
      <c r="T73" s="163"/>
      <c r="U73" s="163">
        <v>112510</v>
      </c>
      <c r="V73" s="163"/>
      <c r="W73" s="163"/>
      <c r="X73" s="163"/>
      <c r="Y73" s="163">
        <v>112512</v>
      </c>
      <c r="Z73" s="163"/>
      <c r="AA73" s="163"/>
      <c r="AB73" s="163"/>
      <c r="AC73" s="163"/>
      <c r="AD73" s="163"/>
      <c r="AE73" s="163">
        <v>513154</v>
      </c>
      <c r="AF73" s="163"/>
      <c r="AG73" s="163"/>
      <c r="AH73" s="163"/>
      <c r="AI73" s="163"/>
      <c r="AJ73" s="163"/>
      <c r="AK73" s="163"/>
    </row>
    <row r="74" spans="1:38" ht="32.1" customHeight="1">
      <c r="A74" s="118"/>
      <c r="B74" s="96" t="str">
        <f>VLOOKUP("Stk",Sprachindex!A:Z,Info!$O$6,FALSE)</f>
        <v>STK</v>
      </c>
      <c r="C74" s="95"/>
      <c r="D74" s="95">
        <v>420501</v>
      </c>
      <c r="E74" s="258" t="str">
        <f>VLOOKUP("Spezialkleber",Sprachindex!A:Z,Info!$O$6,FALSE)</f>
        <v>Spezialkleber</v>
      </c>
      <c r="F74" s="259"/>
      <c r="G74" s="259"/>
      <c r="H74" s="259"/>
      <c r="I74" s="259"/>
      <c r="J74" s="259"/>
      <c r="K74" s="260"/>
      <c r="L74" s="96" t="str">
        <f t="shared" si="0"/>
        <v/>
      </c>
      <c r="M74" s="130"/>
      <c r="N74" s="87"/>
      <c r="O74" s="1"/>
      <c r="P74" s="191" t="str">
        <f>ROUNDUP($A74,0) &amp;" " &amp; Formeln!$A$111</f>
        <v>0 STK</v>
      </c>
      <c r="Q74" s="191" t="str">
        <f>ROUNDUP($A74,0) &amp;" " &amp; Formeln!$A$111</f>
        <v>0 STK</v>
      </c>
      <c r="R74" s="6"/>
    </row>
    <row r="75" spans="1:38" ht="32.1" customHeight="1">
      <c r="A75" s="118"/>
      <c r="B75" s="96" t="str">
        <f>VLOOKUP("Set",Sprachindex!A:Z,Info!$O$6,FALSE)</f>
        <v>Set</v>
      </c>
      <c r="C75" s="98"/>
      <c r="D75" s="95">
        <v>420500</v>
      </c>
      <c r="E75" s="250" t="str">
        <f>VLOOKUP("Spezialkleber-Set",Sprachindex!A:Z,Info!$O$6,FALSE)</f>
        <v>Spezialkleber-Set</v>
      </c>
      <c r="F75" s="251"/>
      <c r="G75" s="251"/>
      <c r="H75" s="251"/>
      <c r="I75" s="251"/>
      <c r="J75" s="251"/>
      <c r="K75" s="257"/>
      <c r="L75" s="96" t="str">
        <f t="shared" si="0"/>
        <v/>
      </c>
      <c r="M75" s="130"/>
      <c r="N75" s="87"/>
      <c r="O75" s="1"/>
      <c r="P75" s="191" t="str">
        <f>ROUNDUP($A75,0) &amp;" " &amp; IF($A75&lt;=1,Formeln!$A$119,IF($A75&gt;1,Formeln!$A$120,""))</f>
        <v>0 Set</v>
      </c>
      <c r="Q75" s="191" t="str">
        <f>ROUNDUP($A75,0) &amp;" " &amp; IF($A75&lt;=1,Formeln!$A$119,IF($A75&gt;1,Formeln!$A$120,""))</f>
        <v>0 Set</v>
      </c>
    </row>
    <row r="76" spans="1:38" ht="32.1" customHeight="1">
      <c r="A76" s="118"/>
      <c r="B76" s="96" t="str">
        <f>VLOOKUP("kg",Sprachindex!A:Z,Info!$O$6,FALSE)</f>
        <v>kg</v>
      </c>
      <c r="C76" s="95"/>
      <c r="D76" s="98">
        <f>IF(I76=Formeln!A104,X76,IF(I76=Formeln!A105,T76,IF(I76=Formeln!A106,U76,IF(I76=Formeln!A107,V76,IF(I76=Formeln!A108,W76,0)))))</f>
        <v>0</v>
      </c>
      <c r="E76" s="265" t="str">
        <f>VLOOKUP("Lochblech, 0,70x1000mm
in Rollen zu 24kg ",Sprachindex!A:Z,Info!$O$6,FALSE)</f>
        <v xml:space="preserve">Lochblech, 0,70x1000mm
in Rollen zu 24kg </v>
      </c>
      <c r="F76" s="266"/>
      <c r="G76" s="266"/>
      <c r="H76" s="266"/>
      <c r="I76" s="252"/>
      <c r="J76" s="267"/>
      <c r="K76" s="267"/>
      <c r="L76" s="183" t="str">
        <f>IF($A76=0,"",IF($I76=Formeln!$A$103," ",IF($N$11=1,P76,Q76)))</f>
        <v/>
      </c>
      <c r="M76" s="130"/>
      <c r="N76" s="87"/>
      <c r="O76" s="1"/>
      <c r="P76" s="208" t="str">
        <f>ROUNDUP($A76/24,0)*24 &amp; " " &amp; Formeln!$A$114 &amp; "        " &amp; "(="&amp;ROUNDUP($A76/24,0) &amp; " " &amp;R76&amp; ")"</f>
        <v>0 kg        (=0 Rolle)</v>
      </c>
      <c r="Q76" s="208" t="str">
        <f>ROUNDUP($A76,0) &amp; " " &amp; Formeln!$A$114 &amp; "        " &amp; "(="&amp;ROUNDUP($A76/24,1) &amp; " " &amp;R76&amp; ")"</f>
        <v>0 kg        (=0 Rolle)</v>
      </c>
      <c r="R76" s="193" t="str">
        <f>IF(A76&gt;24, Formeln!$A$116, Formeln!$A$115)</f>
        <v>Rolle</v>
      </c>
      <c r="T76" s="46">
        <v>507202</v>
      </c>
      <c r="U76" s="46">
        <v>507203</v>
      </c>
      <c r="V76" s="46">
        <v>507204</v>
      </c>
      <c r="W76" s="46">
        <v>507205</v>
      </c>
      <c r="X76" s="46">
        <v>507206</v>
      </c>
    </row>
    <row r="77" spans="1:38" ht="32.1" customHeight="1">
      <c r="A77" s="195"/>
      <c r="B77" s="196"/>
      <c r="C77" s="196"/>
      <c r="D77" s="196"/>
      <c r="E77" s="268"/>
      <c r="F77" s="269"/>
      <c r="G77" s="269"/>
      <c r="H77" s="269"/>
      <c r="I77" s="269"/>
      <c r="J77" s="269"/>
      <c r="K77" s="270"/>
      <c r="L77" s="196"/>
      <c r="M77" s="197"/>
      <c r="N77" s="87"/>
      <c r="O77" s="1"/>
      <c r="P77" s="8"/>
      <c r="Q77" s="8"/>
    </row>
    <row r="78" spans="1:38" ht="32.1" customHeight="1">
      <c r="A78" s="195"/>
      <c r="B78" s="196"/>
      <c r="C78" s="196"/>
      <c r="D78" s="196"/>
      <c r="E78" s="268"/>
      <c r="F78" s="269"/>
      <c r="G78" s="269"/>
      <c r="H78" s="269"/>
      <c r="I78" s="269"/>
      <c r="J78" s="269"/>
      <c r="K78" s="270"/>
      <c r="L78" s="196"/>
      <c r="M78" s="197"/>
      <c r="N78" s="87"/>
      <c r="O78" s="1"/>
      <c r="P78" s="8"/>
      <c r="Q78" s="8"/>
    </row>
    <row r="79" spans="1:38" ht="32.1" customHeight="1" thickBot="1">
      <c r="A79" s="198"/>
      <c r="B79" s="199"/>
      <c r="C79" s="199"/>
      <c r="D79" s="199"/>
      <c r="E79" s="271"/>
      <c r="F79" s="272"/>
      <c r="G79" s="272"/>
      <c r="H79" s="272"/>
      <c r="I79" s="272"/>
      <c r="J79" s="272"/>
      <c r="K79" s="273"/>
      <c r="L79" s="199"/>
      <c r="M79" s="200"/>
      <c r="N79" s="87"/>
      <c r="O79" s="1"/>
      <c r="P79" s="8"/>
      <c r="Q79" s="8"/>
    </row>
    <row r="80" spans="1:38" ht="15" customHeight="1">
      <c r="A80" s="86"/>
      <c r="B80" s="86"/>
      <c r="C80" s="8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87"/>
    </row>
    <row r="81" spans="1:16" ht="17.399999999999999">
      <c r="A81" s="86"/>
      <c r="B81" s="86"/>
      <c r="C81" s="108" t="str">
        <f>VLOOKUP("Zusatzvermerk:",Sprachindex!A:Z,Info!$O$6,FALSE)</f>
        <v>Zusatzvermerk:</v>
      </c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87"/>
    </row>
    <row r="82" spans="1:16" ht="17.399999999999999">
      <c r="A82" s="86"/>
      <c r="B82" s="86"/>
      <c r="C82" s="86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87"/>
    </row>
    <row r="83" spans="1:16" ht="17.399999999999999">
      <c r="A83" s="86"/>
      <c r="B83" s="86"/>
      <c r="C83" s="86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87"/>
    </row>
    <row r="84" spans="1:16" ht="17.399999999999999">
      <c r="A84" s="86"/>
      <c r="B84" s="86"/>
      <c r="C84" s="86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87"/>
    </row>
    <row r="85" spans="1:16" ht="17.399999999999999">
      <c r="A85" s="86"/>
      <c r="B85" s="86"/>
      <c r="C85" s="86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87"/>
    </row>
    <row r="86" spans="1:16" ht="17.399999999999999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7"/>
    </row>
    <row r="87" spans="1:16" ht="17.399999999999999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7"/>
    </row>
    <row r="88" spans="1:16" ht="17.399999999999999">
      <c r="A88" s="109" t="str">
        <f>VLOOKUP("Anwendungstechnik",Sprachindex!A:Z,Info!$O$6,FALSE)</f>
        <v>Anwendungstechnik</v>
      </c>
      <c r="B88" s="110"/>
      <c r="C88" s="110"/>
      <c r="D88" s="264"/>
      <c r="E88" s="264"/>
      <c r="F88" s="264"/>
      <c r="G88" s="264"/>
      <c r="H88" s="264"/>
      <c r="I88" s="264"/>
      <c r="J88" s="264"/>
      <c r="K88" s="111" t="str">
        <f>VLOOKUP("Stand:",Sprachindex!A:Z,Info!$O$6,FALSE)</f>
        <v>Stand:</v>
      </c>
      <c r="L88" s="277">
        <v>44546</v>
      </c>
      <c r="M88" s="278"/>
      <c r="N88" s="87"/>
    </row>
    <row r="89" spans="1:16" ht="13.8">
      <c r="O89" s="1"/>
      <c r="P89" s="1"/>
    </row>
    <row r="90" spans="1:16" ht="13.8" hidden="1">
      <c r="O90" s="1"/>
      <c r="P90" s="1"/>
    </row>
    <row r="91" spans="1:16" ht="13.8" hidden="1">
      <c r="O91" s="1"/>
      <c r="P91" s="1"/>
    </row>
    <row r="92" spans="1:16" ht="13.8" hidden="1">
      <c r="O92" s="1"/>
      <c r="P92" s="1"/>
    </row>
    <row r="93" spans="1:16" ht="13.8" hidden="1">
      <c r="O93" s="1"/>
      <c r="P93" s="1"/>
    </row>
    <row r="94" spans="1:16" ht="13.8" hidden="1">
      <c r="O94" s="1"/>
      <c r="P94" s="1"/>
    </row>
    <row r="95" spans="1:16" ht="13.8" hidden="1">
      <c r="O95" s="1"/>
      <c r="P95" s="1"/>
    </row>
    <row r="96" spans="1:16" ht="13.8" hidden="1">
      <c r="O96" s="1"/>
      <c r="P96" s="1"/>
    </row>
    <row r="97" spans="15:16" ht="13.8" hidden="1">
      <c r="O97" s="1"/>
      <c r="P97" s="1"/>
    </row>
    <row r="98" spans="15:16" ht="13.8" hidden="1">
      <c r="O98" s="1"/>
      <c r="P98" s="1"/>
    </row>
    <row r="99" spans="15:16" ht="13.8" hidden="1">
      <c r="O99" s="1"/>
      <c r="P99" s="1"/>
    </row>
    <row r="100" spans="15:16" ht="13.8" hidden="1">
      <c r="O100" s="1"/>
      <c r="P100" s="1"/>
    </row>
    <row r="101" spans="15:16" ht="13.8" hidden="1">
      <c r="O101" s="1"/>
      <c r="P101" s="1"/>
    </row>
    <row r="102" spans="15:16" ht="13.8" hidden="1">
      <c r="O102" s="1"/>
      <c r="P102" s="1"/>
    </row>
    <row r="103" spans="15:16" ht="13.8" hidden="1">
      <c r="O103" s="1"/>
      <c r="P103" s="1"/>
    </row>
    <row r="104" spans="15:16" ht="13.8" hidden="1">
      <c r="O104" s="1"/>
      <c r="P104" s="1"/>
    </row>
    <row r="105" spans="15:16" ht="13.8" hidden="1">
      <c r="O105" s="1"/>
      <c r="P105" s="1"/>
    </row>
    <row r="106" spans="15:16" ht="13.8" hidden="1">
      <c r="O106" s="1"/>
      <c r="P106" s="1"/>
    </row>
    <row r="107" spans="15:16" ht="13.8" hidden="1">
      <c r="O107" s="1"/>
      <c r="P107" s="1"/>
    </row>
    <row r="108" spans="15:16" ht="13.8" hidden="1">
      <c r="O108" s="1"/>
      <c r="P108" s="1"/>
    </row>
    <row r="109" spans="15:16" ht="13.8" hidden="1">
      <c r="O109" s="1"/>
      <c r="P109" s="1"/>
    </row>
    <row r="110" spans="15:16" ht="13.8" hidden="1">
      <c r="O110" s="1"/>
      <c r="P110" s="1"/>
    </row>
    <row r="111" spans="15:16" ht="13.8" hidden="1">
      <c r="O111" s="1"/>
      <c r="P111" s="1"/>
    </row>
    <row r="112" spans="15:16" ht="13.8" hidden="1">
      <c r="O112" s="1"/>
      <c r="P112" s="1"/>
    </row>
    <row r="113" spans="15:16" ht="13.8" hidden="1">
      <c r="O113" s="1"/>
      <c r="P113" s="1"/>
    </row>
    <row r="114" spans="15:16" ht="13.8" hidden="1">
      <c r="O114" s="1"/>
      <c r="P114" s="1"/>
    </row>
    <row r="115" spans="15:16" ht="13.8" hidden="1">
      <c r="O115" s="1"/>
      <c r="P115" s="1"/>
    </row>
    <row r="116" spans="15:16" ht="13.8" hidden="1">
      <c r="O116" s="1"/>
      <c r="P116" s="1"/>
    </row>
    <row r="117" spans="15:16" ht="13.8" hidden="1">
      <c r="O117" s="1"/>
      <c r="P117" s="1"/>
    </row>
    <row r="118" spans="15:16" ht="13.8" hidden="1">
      <c r="O118" s="1"/>
      <c r="P118" s="1"/>
    </row>
    <row r="119" spans="15:16" ht="13.8" hidden="1">
      <c r="O119" s="1"/>
      <c r="P119" s="1"/>
    </row>
    <row r="120" spans="15:16" ht="13.8" hidden="1">
      <c r="O120" s="1"/>
      <c r="P120" s="1"/>
    </row>
    <row r="121" spans="15:16" ht="13.8" hidden="1">
      <c r="O121" s="1"/>
      <c r="P121" s="1"/>
    </row>
    <row r="122" spans="15:16" ht="13.8" hidden="1">
      <c r="O122" s="1"/>
      <c r="P122" s="1"/>
    </row>
    <row r="123" spans="15:16" ht="13.8" hidden="1">
      <c r="O123" s="1"/>
      <c r="P123" s="1"/>
    </row>
    <row r="124" spans="15:16" ht="14.25" hidden="1" customHeight="1">
      <c r="O124" s="1"/>
      <c r="P124" s="1"/>
    </row>
    <row r="125" spans="15:16" ht="14.25" hidden="1" customHeight="1">
      <c r="O125" s="1"/>
      <c r="P125" s="1"/>
    </row>
  </sheetData>
  <sheetProtection password="8D71" sheet="1" objects="1" scenarios="1" selectLockedCells="1" autoFilter="0"/>
  <protectedRanges>
    <protectedRange password="DEBF" sqref="P77:Q79" name="darf vom Benutzer nicht verändert werden_1_5"/>
    <protectedRange password="DEBF" sqref="R32:R34" name="darf vom Benutzer nicht verändert werden_1_12"/>
    <protectedRange password="DEBF" sqref="P35:Q37" name="darf vom Benutzer nicht verändert werden_1_2_1"/>
    <protectedRange password="DEBF" sqref="P38:Q39" name="darf vom Benutzer nicht verändert werden_1_2_4"/>
    <protectedRange password="DEBF" sqref="Q40" name="darf vom Benutzer nicht verändert werden_1_1_1"/>
    <protectedRange password="DEBF" sqref="P40" name="darf vom Benutzer nicht verändert werden_1_4_1"/>
    <protectedRange password="DEBF" sqref="P41:Q41" name="darf vom Benutzer nicht verändert werden_1_5_2"/>
    <protectedRange password="DEBF" sqref="P42" name="darf vom Benutzer nicht verändert werden_1_5_2_7"/>
    <protectedRange password="DEBF" sqref="Q42" name="darf vom Benutzer nicht verändert werden_1_3"/>
    <protectedRange password="DEBF" sqref="P43:Q43" name="darf vom Benutzer nicht verändert werden_1_5_4"/>
    <protectedRange password="DEBF" sqref="Q44" name="darf vom Benutzer nicht verändert werden_1_2_6"/>
    <protectedRange password="DEBF" sqref="P44" name="darf vom Benutzer nicht verändert werden_1_5_5"/>
    <protectedRange password="DEBF" sqref="P45:Q46" name="darf vom Benutzer nicht verändert werden_1_5_6"/>
    <protectedRange password="DEBF" sqref="P47:Q49 P59:Q63" name="darf vom Benutzer nicht verändert werden_1_5_7"/>
    <protectedRange password="DEBF" sqref="P50:Q50" name="darf vom Benutzer nicht verändert werden_1_5_8"/>
    <protectedRange password="DEBF" sqref="P51:Q54 P56:Q58" name="darf vom Benutzer nicht verändert werden_1_5_9"/>
    <protectedRange password="DEBF" sqref="P55:Q55" name="darf vom Benutzer nicht verändert werden_1_5_10"/>
    <protectedRange password="DEBF" sqref="P64:Q68" name="darf vom Benutzer nicht verändert werden_1_5_11"/>
    <protectedRange password="DEBF" sqref="P69:Q69" name="darf vom Benutzer nicht verändert werden_1_5_12"/>
    <protectedRange password="DEBF" sqref="P70:Q70" name="darf vom Benutzer nicht verändert werden_1_5_13"/>
    <protectedRange password="DEBF" sqref="P71:Q71" name="darf vom Benutzer nicht verändert werden_1_5_14"/>
    <protectedRange password="DEBF" sqref="P72:Q74" name="darf vom Benutzer nicht verändert werden_1_5_15"/>
    <protectedRange password="DEBF" sqref="P76:Q76" name="darf vom Benutzer nicht verändert werden_1_5_17"/>
    <protectedRange password="DEBF" sqref="P32:Q34" name="darf vom Benutzer nicht verändert werden_1_5_3_1"/>
    <protectedRange password="DEBF" sqref="R76" name="darf vom Benutzer nicht verändert werden_1_12_4"/>
    <protectedRange password="DEBF" sqref="P75:Q75" name="darf vom Benutzer nicht verändert werden_1_5_1"/>
  </protectedRanges>
  <autoFilter ref="A30:A79" xr:uid="{00000000-0009-0000-0000-000008000000}"/>
  <mergeCells count="85">
    <mergeCell ref="P30:Q30"/>
    <mergeCell ref="E78:K78"/>
    <mergeCell ref="E68:K68"/>
    <mergeCell ref="E69:K69"/>
    <mergeCell ref="E70:K70"/>
    <mergeCell ref="E71:K71"/>
    <mergeCell ref="E72:K72"/>
    <mergeCell ref="E73:K73"/>
    <mergeCell ref="E74:K74"/>
    <mergeCell ref="E75:K75"/>
    <mergeCell ref="E76:H76"/>
    <mergeCell ref="I76:K76"/>
    <mergeCell ref="E77:K77"/>
    <mergeCell ref="E67:K67"/>
    <mergeCell ref="E57:K57"/>
    <mergeCell ref="E58:K58"/>
    <mergeCell ref="E79:K79"/>
    <mergeCell ref="D88:J88"/>
    <mergeCell ref="D84:M85"/>
    <mergeCell ref="D82:M83"/>
    <mergeCell ref="D80:M81"/>
    <mergeCell ref="L88:M88"/>
    <mergeCell ref="E59:K59"/>
    <mergeCell ref="E60:K60"/>
    <mergeCell ref="E61:K61"/>
    <mergeCell ref="E62:K62"/>
    <mergeCell ref="E63:K63"/>
    <mergeCell ref="E64:K64"/>
    <mergeCell ref="E65:K65"/>
    <mergeCell ref="E66:K66"/>
    <mergeCell ref="E56:K56"/>
    <mergeCell ref="E44:G44"/>
    <mergeCell ref="H44:K44"/>
    <mergeCell ref="E45:K45"/>
    <mergeCell ref="E46:K46"/>
    <mergeCell ref="E50:K50"/>
    <mergeCell ref="E52:K52"/>
    <mergeCell ref="E53:K53"/>
    <mergeCell ref="E54:K54"/>
    <mergeCell ref="E55:K55"/>
    <mergeCell ref="E48:K48"/>
    <mergeCell ref="E47:K47"/>
    <mergeCell ref="E49:I49"/>
    <mergeCell ref="J49:K49"/>
    <mergeCell ref="E51:K51"/>
    <mergeCell ref="B30:E30"/>
    <mergeCell ref="E31:K31"/>
    <mergeCell ref="E43:K43"/>
    <mergeCell ref="E35:K35"/>
    <mergeCell ref="E36:K36"/>
    <mergeCell ref="E37:K37"/>
    <mergeCell ref="E38:K38"/>
    <mergeCell ref="E39:K39"/>
    <mergeCell ref="E40:G40"/>
    <mergeCell ref="H40:K40"/>
    <mergeCell ref="E41:K41"/>
    <mergeCell ref="E42:K42"/>
    <mergeCell ref="E34:I34"/>
    <mergeCell ref="J33:K33"/>
    <mergeCell ref="C13:E13"/>
    <mergeCell ref="C14:E14"/>
    <mergeCell ref="C15:E15"/>
    <mergeCell ref="C18:E18"/>
    <mergeCell ref="C19:E19"/>
    <mergeCell ref="K4:M4"/>
    <mergeCell ref="K5:M5"/>
    <mergeCell ref="K6:M6"/>
    <mergeCell ref="C11:E11"/>
    <mergeCell ref="C9:E9"/>
    <mergeCell ref="C10:E10"/>
    <mergeCell ref="K7:M7"/>
    <mergeCell ref="C20:E20"/>
    <mergeCell ref="C21:E21"/>
    <mergeCell ref="C25:E25"/>
    <mergeCell ref="I25:K25"/>
    <mergeCell ref="C26:E26"/>
    <mergeCell ref="I26:K26"/>
    <mergeCell ref="J34:K34"/>
    <mergeCell ref="B25:B28"/>
    <mergeCell ref="I27:K27"/>
    <mergeCell ref="C28:E28"/>
    <mergeCell ref="C27:E27"/>
    <mergeCell ref="J32:K32"/>
    <mergeCell ref="E32:I32"/>
    <mergeCell ref="E33:I33"/>
  </mergeCells>
  <conditionalFormatting sqref="C9:E9">
    <cfRule type="cellIs" dxfId="585" priority="193" operator="equal">
      <formula>""</formula>
    </cfRule>
  </conditionalFormatting>
  <conditionalFormatting sqref="C10:E10">
    <cfRule type="cellIs" dxfId="584" priority="192" operator="equal">
      <formula>""</formula>
    </cfRule>
  </conditionalFormatting>
  <conditionalFormatting sqref="C11:E11">
    <cfRule type="cellIs" dxfId="583" priority="191" operator="equal">
      <formula>""</formula>
    </cfRule>
  </conditionalFormatting>
  <conditionalFormatting sqref="C13:E13">
    <cfRule type="cellIs" dxfId="582" priority="190" operator="equal">
      <formula>""</formula>
    </cfRule>
  </conditionalFormatting>
  <conditionalFormatting sqref="C14:E14">
    <cfRule type="cellIs" dxfId="581" priority="189" operator="equal">
      <formula>""</formula>
    </cfRule>
  </conditionalFormatting>
  <conditionalFormatting sqref="C15:E15">
    <cfRule type="cellIs" dxfId="580" priority="188" operator="equal">
      <formula>""</formula>
    </cfRule>
  </conditionalFormatting>
  <conditionalFormatting sqref="C18:E18">
    <cfRule type="cellIs" dxfId="579" priority="187" operator="equal">
      <formula>""</formula>
    </cfRule>
  </conditionalFormatting>
  <conditionalFormatting sqref="C19:E19">
    <cfRule type="cellIs" dxfId="578" priority="186" operator="equal">
      <formula>""</formula>
    </cfRule>
  </conditionalFormatting>
  <conditionalFormatting sqref="C20:E20">
    <cfRule type="cellIs" dxfId="577" priority="185" operator="equal">
      <formula>""</formula>
    </cfRule>
  </conditionalFormatting>
  <conditionalFormatting sqref="C21:E21">
    <cfRule type="cellIs" dxfId="576" priority="184" operator="equal">
      <formula>""</formula>
    </cfRule>
  </conditionalFormatting>
  <conditionalFormatting sqref="A32">
    <cfRule type="cellIs" dxfId="575" priority="180" operator="equal">
      <formula>""</formula>
    </cfRule>
  </conditionalFormatting>
  <conditionalFormatting sqref="A33">
    <cfRule type="cellIs" dxfId="574" priority="179" operator="equal">
      <formula>""</formula>
    </cfRule>
  </conditionalFormatting>
  <conditionalFormatting sqref="A34">
    <cfRule type="cellIs" dxfId="573" priority="178" operator="equal">
      <formula>""</formula>
    </cfRule>
  </conditionalFormatting>
  <conditionalFormatting sqref="A35">
    <cfRule type="cellIs" dxfId="572" priority="176" operator="equal">
      <formula>""</formula>
    </cfRule>
  </conditionalFormatting>
  <conditionalFormatting sqref="A36">
    <cfRule type="cellIs" dxfId="571" priority="175" operator="equal">
      <formula>""</formula>
    </cfRule>
  </conditionalFormatting>
  <conditionalFormatting sqref="A37">
    <cfRule type="cellIs" dxfId="570" priority="174" operator="equal">
      <formula>""</formula>
    </cfRule>
  </conditionalFormatting>
  <conditionalFormatting sqref="A38">
    <cfRule type="cellIs" dxfId="569" priority="173" operator="equal">
      <formula>""</formula>
    </cfRule>
  </conditionalFormatting>
  <conditionalFormatting sqref="A39">
    <cfRule type="cellIs" dxfId="568" priority="172" operator="equal">
      <formula>""</formula>
    </cfRule>
  </conditionalFormatting>
  <conditionalFormatting sqref="A40">
    <cfRule type="cellIs" dxfId="567" priority="171" operator="equal">
      <formula>""</formula>
    </cfRule>
  </conditionalFormatting>
  <conditionalFormatting sqref="A41">
    <cfRule type="cellIs" dxfId="566" priority="170" operator="equal">
      <formula>""</formula>
    </cfRule>
  </conditionalFormatting>
  <conditionalFormatting sqref="A42">
    <cfRule type="cellIs" dxfId="565" priority="169" operator="equal">
      <formula>""</formula>
    </cfRule>
  </conditionalFormatting>
  <conditionalFormatting sqref="A43">
    <cfRule type="cellIs" dxfId="564" priority="168" operator="equal">
      <formula>""</formula>
    </cfRule>
  </conditionalFormatting>
  <conditionalFormatting sqref="A44">
    <cfRule type="cellIs" dxfId="563" priority="167" operator="equal">
      <formula>""</formula>
    </cfRule>
  </conditionalFormatting>
  <conditionalFormatting sqref="A45">
    <cfRule type="cellIs" dxfId="562" priority="166" operator="equal">
      <formula>""</formula>
    </cfRule>
  </conditionalFormatting>
  <conditionalFormatting sqref="A46">
    <cfRule type="cellIs" dxfId="561" priority="165" operator="equal">
      <formula>""</formula>
    </cfRule>
  </conditionalFormatting>
  <conditionalFormatting sqref="A47">
    <cfRule type="cellIs" dxfId="560" priority="164" operator="equal">
      <formula>""</formula>
    </cfRule>
  </conditionalFormatting>
  <conditionalFormatting sqref="A50:A51">
    <cfRule type="cellIs" dxfId="559" priority="163" operator="equal">
      <formula>""</formula>
    </cfRule>
  </conditionalFormatting>
  <conditionalFormatting sqref="A52">
    <cfRule type="cellIs" dxfId="558" priority="162" operator="equal">
      <formula>""</formula>
    </cfRule>
  </conditionalFormatting>
  <conditionalFormatting sqref="A53">
    <cfRule type="cellIs" dxfId="557" priority="161" operator="equal">
      <formula>""</formula>
    </cfRule>
  </conditionalFormatting>
  <conditionalFormatting sqref="A54">
    <cfRule type="cellIs" dxfId="556" priority="160" operator="equal">
      <formula>""</formula>
    </cfRule>
  </conditionalFormatting>
  <conditionalFormatting sqref="A55">
    <cfRule type="cellIs" dxfId="555" priority="159" operator="equal">
      <formula>""</formula>
    </cfRule>
  </conditionalFormatting>
  <conditionalFormatting sqref="A56">
    <cfRule type="cellIs" dxfId="554" priority="158" operator="equal">
      <formula>""</formula>
    </cfRule>
  </conditionalFormatting>
  <conditionalFormatting sqref="A57">
    <cfRule type="cellIs" dxfId="553" priority="157" operator="equal">
      <formula>""</formula>
    </cfRule>
  </conditionalFormatting>
  <conditionalFormatting sqref="A58">
    <cfRule type="cellIs" dxfId="552" priority="156" operator="equal">
      <formula>""</formula>
    </cfRule>
  </conditionalFormatting>
  <conditionalFormatting sqref="A59">
    <cfRule type="cellIs" dxfId="551" priority="155" operator="equal">
      <formula>""</formula>
    </cfRule>
  </conditionalFormatting>
  <conditionalFormatting sqref="A60">
    <cfRule type="cellIs" dxfId="550" priority="154" operator="equal">
      <formula>""</formula>
    </cfRule>
  </conditionalFormatting>
  <conditionalFormatting sqref="A61">
    <cfRule type="cellIs" dxfId="549" priority="153" operator="equal">
      <formula>""</formula>
    </cfRule>
  </conditionalFormatting>
  <conditionalFormatting sqref="A62">
    <cfRule type="cellIs" dxfId="548" priority="151" operator="equal">
      <formula>""</formula>
    </cfRule>
  </conditionalFormatting>
  <conditionalFormatting sqref="A63">
    <cfRule type="cellIs" dxfId="547" priority="150" operator="equal">
      <formula>""</formula>
    </cfRule>
  </conditionalFormatting>
  <conditionalFormatting sqref="A64">
    <cfRule type="cellIs" dxfId="546" priority="149" operator="equal">
      <formula>""</formula>
    </cfRule>
  </conditionalFormatting>
  <conditionalFormatting sqref="A66">
    <cfRule type="cellIs" dxfId="545" priority="148" operator="equal">
      <formula>""</formula>
    </cfRule>
  </conditionalFormatting>
  <conditionalFormatting sqref="A65">
    <cfRule type="cellIs" dxfId="544" priority="147" operator="equal">
      <formula>""</formula>
    </cfRule>
  </conditionalFormatting>
  <conditionalFormatting sqref="A67">
    <cfRule type="cellIs" dxfId="543" priority="146" operator="equal">
      <formula>""</formula>
    </cfRule>
  </conditionalFormatting>
  <conditionalFormatting sqref="A68">
    <cfRule type="cellIs" dxfId="542" priority="145" operator="equal">
      <formula>""</formula>
    </cfRule>
  </conditionalFormatting>
  <conditionalFormatting sqref="A69">
    <cfRule type="cellIs" dxfId="541" priority="144" operator="equal">
      <formula>""</formula>
    </cfRule>
  </conditionalFormatting>
  <conditionalFormatting sqref="A70">
    <cfRule type="cellIs" dxfId="540" priority="143" operator="equal">
      <formula>""</formula>
    </cfRule>
  </conditionalFormatting>
  <conditionalFormatting sqref="A71">
    <cfRule type="cellIs" dxfId="539" priority="142" operator="equal">
      <formula>""</formula>
    </cfRule>
  </conditionalFormatting>
  <conditionalFormatting sqref="A72">
    <cfRule type="cellIs" dxfId="538" priority="141" operator="equal">
      <formula>""</formula>
    </cfRule>
  </conditionalFormatting>
  <conditionalFormatting sqref="A73">
    <cfRule type="cellIs" dxfId="537" priority="140" operator="equal">
      <formula>""</formula>
    </cfRule>
  </conditionalFormatting>
  <conditionalFormatting sqref="A74">
    <cfRule type="cellIs" dxfId="536" priority="139" operator="equal">
      <formula>""</formula>
    </cfRule>
  </conditionalFormatting>
  <conditionalFormatting sqref="A75">
    <cfRule type="cellIs" dxfId="535" priority="138" operator="equal">
      <formula>""</formula>
    </cfRule>
  </conditionalFormatting>
  <conditionalFormatting sqref="A76">
    <cfRule type="cellIs" dxfId="534" priority="137" operator="equal">
      <formula>""</formula>
    </cfRule>
  </conditionalFormatting>
  <conditionalFormatting sqref="A77">
    <cfRule type="cellIs" dxfId="533" priority="134" operator="equal">
      <formula>""</formula>
    </cfRule>
  </conditionalFormatting>
  <conditionalFormatting sqref="A78">
    <cfRule type="cellIs" dxfId="532" priority="133" operator="equal">
      <formula>""</formula>
    </cfRule>
  </conditionalFormatting>
  <conditionalFormatting sqref="A79">
    <cfRule type="cellIs" dxfId="531" priority="132" operator="equal">
      <formula>""</formula>
    </cfRule>
  </conditionalFormatting>
  <conditionalFormatting sqref="B78">
    <cfRule type="cellIs" dxfId="530" priority="131" operator="equal">
      <formula>""</formula>
    </cfRule>
  </conditionalFormatting>
  <conditionalFormatting sqref="B77">
    <cfRule type="cellIs" dxfId="529" priority="130" operator="equal">
      <formula>""</formula>
    </cfRule>
  </conditionalFormatting>
  <conditionalFormatting sqref="B79">
    <cfRule type="cellIs" dxfId="528" priority="129" operator="equal">
      <formula>""</formula>
    </cfRule>
  </conditionalFormatting>
  <conditionalFormatting sqref="C79">
    <cfRule type="cellIs" dxfId="527" priority="128" operator="equal">
      <formula>""</formula>
    </cfRule>
  </conditionalFormatting>
  <conditionalFormatting sqref="C78">
    <cfRule type="cellIs" dxfId="526" priority="127" operator="equal">
      <formula>""</formula>
    </cfRule>
  </conditionalFormatting>
  <conditionalFormatting sqref="C77">
    <cfRule type="cellIs" dxfId="525" priority="126" operator="equal">
      <formula>""</formula>
    </cfRule>
  </conditionalFormatting>
  <conditionalFormatting sqref="E77">
    <cfRule type="cellIs" dxfId="524" priority="125" operator="equal">
      <formula>""</formula>
    </cfRule>
  </conditionalFormatting>
  <conditionalFormatting sqref="E78">
    <cfRule type="cellIs" dxfId="523" priority="124" operator="equal">
      <formula>""</formula>
    </cfRule>
  </conditionalFormatting>
  <conditionalFormatting sqref="E79">
    <cfRule type="cellIs" dxfId="522" priority="123" operator="equal">
      <formula>""</formula>
    </cfRule>
  </conditionalFormatting>
  <conditionalFormatting sqref="L79">
    <cfRule type="cellIs" dxfId="521" priority="122" operator="equal">
      <formula>""</formula>
    </cfRule>
  </conditionalFormatting>
  <conditionalFormatting sqref="L78">
    <cfRule type="cellIs" dxfId="520" priority="121" operator="equal">
      <formula>""</formula>
    </cfRule>
  </conditionalFormatting>
  <conditionalFormatting sqref="L77">
    <cfRule type="cellIs" dxfId="519" priority="120" operator="equal">
      <formula>""</formula>
    </cfRule>
  </conditionalFormatting>
  <conditionalFormatting sqref="M77">
    <cfRule type="cellIs" dxfId="518" priority="119" operator="equal">
      <formula>""</formula>
    </cfRule>
  </conditionalFormatting>
  <conditionalFormatting sqref="M78">
    <cfRule type="cellIs" dxfId="517" priority="118" operator="equal">
      <formula>""</formula>
    </cfRule>
  </conditionalFormatting>
  <conditionalFormatting sqref="M79">
    <cfRule type="cellIs" dxfId="516" priority="117" operator="equal">
      <formula>""</formula>
    </cfRule>
  </conditionalFormatting>
  <conditionalFormatting sqref="D79">
    <cfRule type="cellIs" dxfId="515" priority="102" operator="equal">
      <formula>""</formula>
    </cfRule>
  </conditionalFormatting>
  <conditionalFormatting sqref="D78">
    <cfRule type="cellIs" dxfId="514" priority="101" operator="equal">
      <formula>""</formula>
    </cfRule>
  </conditionalFormatting>
  <conditionalFormatting sqref="D77">
    <cfRule type="cellIs" dxfId="513" priority="100" operator="equal">
      <formula>""</formula>
    </cfRule>
  </conditionalFormatting>
  <conditionalFormatting sqref="D62">
    <cfRule type="duplicateValues" dxfId="512" priority="78"/>
  </conditionalFormatting>
  <conditionalFormatting sqref="D63">
    <cfRule type="duplicateValues" dxfId="511" priority="77"/>
  </conditionalFormatting>
  <conditionalFormatting sqref="AC46">
    <cfRule type="duplicateValues" dxfId="510" priority="43"/>
  </conditionalFormatting>
  <conditionalFormatting sqref="T41">
    <cfRule type="duplicateValues" dxfId="509" priority="56"/>
  </conditionalFormatting>
  <conditionalFormatting sqref="U41">
    <cfRule type="duplicateValues" dxfId="508" priority="55"/>
  </conditionalFormatting>
  <conditionalFormatting sqref="V41">
    <cfRule type="duplicateValues" dxfId="507" priority="54"/>
  </conditionalFormatting>
  <conditionalFormatting sqref="W41">
    <cfRule type="duplicateValues" dxfId="506" priority="53"/>
  </conditionalFormatting>
  <conditionalFormatting sqref="X41">
    <cfRule type="duplicateValues" dxfId="505" priority="52"/>
  </conditionalFormatting>
  <conditionalFormatting sqref="Y41">
    <cfRule type="duplicateValues" dxfId="504" priority="51"/>
  </conditionalFormatting>
  <conditionalFormatting sqref="Z41">
    <cfRule type="duplicateValues" dxfId="503" priority="50"/>
  </conditionalFormatting>
  <conditionalFormatting sqref="AA41">
    <cfRule type="duplicateValues" dxfId="502" priority="49"/>
  </conditionalFormatting>
  <conditionalFormatting sqref="AB41">
    <cfRule type="duplicateValues" dxfId="501" priority="48"/>
  </conditionalFormatting>
  <conditionalFormatting sqref="AC41">
    <cfRule type="duplicateValues" dxfId="500" priority="47"/>
  </conditionalFormatting>
  <conditionalFormatting sqref="T45 V45:AB45">
    <cfRule type="duplicateValues" dxfId="499" priority="46"/>
  </conditionalFormatting>
  <conditionalFormatting sqref="AC45">
    <cfRule type="duplicateValues" dxfId="498" priority="45"/>
  </conditionalFormatting>
  <conditionalFormatting sqref="T46:AB46">
    <cfRule type="duplicateValues" dxfId="497" priority="44"/>
  </conditionalFormatting>
  <conditionalFormatting sqref="T59:AC59">
    <cfRule type="duplicateValues" dxfId="496" priority="41"/>
  </conditionalFormatting>
  <conditionalFormatting sqref="T60:AB60">
    <cfRule type="duplicateValues" dxfId="495" priority="40"/>
  </conditionalFormatting>
  <conditionalFormatting sqref="AC60">
    <cfRule type="duplicateValues" dxfId="494" priority="39"/>
  </conditionalFormatting>
  <conditionalFormatting sqref="T61:AB61">
    <cfRule type="duplicateValues" dxfId="493" priority="38"/>
  </conditionalFormatting>
  <conditionalFormatting sqref="AC61">
    <cfRule type="duplicateValues" dxfId="492" priority="37"/>
  </conditionalFormatting>
  <conditionalFormatting sqref="T64:AE71">
    <cfRule type="duplicateValues" dxfId="491" priority="34"/>
  </conditionalFormatting>
  <conditionalFormatting sqref="T76:X76">
    <cfRule type="duplicateValues" dxfId="490" priority="27"/>
  </conditionalFormatting>
  <conditionalFormatting sqref="I13">
    <cfRule type="expression" dxfId="489" priority="23">
      <formula>$N$13=2</formula>
    </cfRule>
    <cfRule type="expression" dxfId="488" priority="26">
      <formula>$N$13=1</formula>
    </cfRule>
  </conditionalFormatting>
  <conditionalFormatting sqref="L13">
    <cfRule type="expression" dxfId="487" priority="24">
      <formula>$N$13=1</formula>
    </cfRule>
    <cfRule type="expression" dxfId="486" priority="25">
      <formula>$N$13=2</formula>
    </cfRule>
  </conditionalFormatting>
  <conditionalFormatting sqref="A48:A49">
    <cfRule type="cellIs" dxfId="485" priority="22" operator="equal">
      <formula>""</formula>
    </cfRule>
  </conditionalFormatting>
  <conditionalFormatting sqref="I27:K27 I25:I26">
    <cfRule type="cellIs" dxfId="484" priority="12" operator="equal">
      <formula>""</formula>
    </cfRule>
  </conditionalFormatting>
  <conditionalFormatting sqref="C25:E25">
    <cfRule type="cellIs" dxfId="483" priority="16" operator="equal">
      <formula>""</formula>
    </cfRule>
  </conditionalFormatting>
  <conditionalFormatting sqref="C26:E26">
    <cfRule type="cellIs" dxfId="482" priority="15" operator="equal">
      <formula>""</formula>
    </cfRule>
  </conditionalFormatting>
  <conditionalFormatting sqref="C27:E27">
    <cfRule type="cellIs" dxfId="481" priority="14" operator="equal">
      <formula>""</formula>
    </cfRule>
  </conditionalFormatting>
  <conditionalFormatting sqref="C28:E28">
    <cfRule type="cellIs" dxfId="480" priority="13" operator="equal">
      <formula>""</formula>
    </cfRule>
  </conditionalFormatting>
  <conditionalFormatting sqref="K4">
    <cfRule type="cellIs" dxfId="479" priority="4" operator="equal">
      <formula>""</formula>
    </cfRule>
  </conditionalFormatting>
  <conditionalFormatting sqref="K5">
    <cfRule type="cellIs" dxfId="478" priority="3" operator="equal">
      <formula>""</formula>
    </cfRule>
  </conditionalFormatting>
  <conditionalFormatting sqref="K6">
    <cfRule type="cellIs" dxfId="477" priority="2" operator="equal">
      <formula>""</formula>
    </cfRule>
  </conditionalFormatting>
  <conditionalFormatting sqref="K7">
    <cfRule type="cellIs" dxfId="476" priority="1" operator="equal">
      <formula>""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headerFooter differentFirst="1">
    <firstHeader>&amp;L&amp;G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5" name="Group Box 1">
              <controlPr defaultSize="0" print="0" autoFill="0" autoPict="0" altText="">
                <anchor moveWithCells="1">
                  <from>
                    <xdr:col>5</xdr:col>
                    <xdr:colOff>563880</xdr:colOff>
                    <xdr:row>8</xdr:row>
                    <xdr:rowOff>0</xdr:rowOff>
                  </from>
                  <to>
                    <xdr:col>12</xdr:col>
                    <xdr:colOff>373380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6" name="Option Button 14">
              <controlPr defaultSize="0" autoFill="0" autoLine="0" autoPict="0">
                <anchor moveWithCells="1">
                  <from>
                    <xdr:col>8</xdr:col>
                    <xdr:colOff>754380</xdr:colOff>
                    <xdr:row>8</xdr:row>
                    <xdr:rowOff>7620</xdr:rowOff>
                  </from>
                  <to>
                    <xdr:col>9</xdr:col>
                    <xdr:colOff>449580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7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8</xdr:row>
                    <xdr:rowOff>30480</xdr:rowOff>
                  </from>
                  <to>
                    <xdr:col>11</xdr:col>
                    <xdr:colOff>335280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8" name="Option Button 17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15</xdr:row>
                    <xdr:rowOff>30480</xdr:rowOff>
                  </from>
                  <to>
                    <xdr:col>7</xdr:col>
                    <xdr:colOff>182880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9" name="Option Button 18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16</xdr:row>
                    <xdr:rowOff>30480</xdr:rowOff>
                  </from>
                  <to>
                    <xdr:col>7</xdr:col>
                    <xdr:colOff>182880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0" name="Option Button 19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17</xdr:row>
                    <xdr:rowOff>30480</xdr:rowOff>
                  </from>
                  <to>
                    <xdr:col>7</xdr:col>
                    <xdr:colOff>182880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11" name="Option Button 20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18</xdr:row>
                    <xdr:rowOff>30480</xdr:rowOff>
                  </from>
                  <to>
                    <xdr:col>7</xdr:col>
                    <xdr:colOff>182880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12" name="Option Button 21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19</xdr:row>
                    <xdr:rowOff>30480</xdr:rowOff>
                  </from>
                  <to>
                    <xdr:col>7</xdr:col>
                    <xdr:colOff>182880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13" name="Option Button 22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20</xdr:row>
                    <xdr:rowOff>30480</xdr:rowOff>
                  </from>
                  <to>
                    <xdr:col>7</xdr:col>
                    <xdr:colOff>182880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14" name="Option Button 23">
              <controlPr defaultSize="0" autoFill="0" autoLine="0" autoPict="0" altText="">
                <anchor moveWithCells="1">
                  <from>
                    <xdr:col>5</xdr:col>
                    <xdr:colOff>563880</xdr:colOff>
                    <xdr:row>21</xdr:row>
                    <xdr:rowOff>30480</xdr:rowOff>
                  </from>
                  <to>
                    <xdr:col>7</xdr:col>
                    <xdr:colOff>182880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15" name="Option Button 24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15</xdr:row>
                    <xdr:rowOff>30480</xdr:rowOff>
                  </from>
                  <to>
                    <xdr:col>8</xdr:col>
                    <xdr:colOff>807720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16" name="Option Button 25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16</xdr:row>
                    <xdr:rowOff>30480</xdr:rowOff>
                  </from>
                  <to>
                    <xdr:col>8</xdr:col>
                    <xdr:colOff>807720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17" name="Option Button 26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17</xdr:row>
                    <xdr:rowOff>30480</xdr:rowOff>
                  </from>
                  <to>
                    <xdr:col>8</xdr:col>
                    <xdr:colOff>807720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18" name="Option Button 27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18</xdr:row>
                    <xdr:rowOff>30480</xdr:rowOff>
                  </from>
                  <to>
                    <xdr:col>8</xdr:col>
                    <xdr:colOff>807720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19" name="Option Button 28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19</xdr:row>
                    <xdr:rowOff>30480</xdr:rowOff>
                  </from>
                  <to>
                    <xdr:col>8</xdr:col>
                    <xdr:colOff>807720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20" name="Option Button 29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20</xdr:row>
                    <xdr:rowOff>30480</xdr:rowOff>
                  </from>
                  <to>
                    <xdr:col>8</xdr:col>
                    <xdr:colOff>807720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21" name="Option Button 30">
              <controlPr defaultSize="0" autoFill="0" autoLine="0" autoPict="0" altText="">
                <anchor moveWithCells="1">
                  <from>
                    <xdr:col>7</xdr:col>
                    <xdr:colOff>678180</xdr:colOff>
                    <xdr:row>21</xdr:row>
                    <xdr:rowOff>30480</xdr:rowOff>
                  </from>
                  <to>
                    <xdr:col>8</xdr:col>
                    <xdr:colOff>807720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5" r:id="rId22" name="Option Button 31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15</xdr:row>
                    <xdr:rowOff>30480</xdr:rowOff>
                  </from>
                  <to>
                    <xdr:col>11</xdr:col>
                    <xdr:colOff>106680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23" name="Option Button 32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16</xdr:row>
                    <xdr:rowOff>7620</xdr:rowOff>
                  </from>
                  <to>
                    <xdr:col>11</xdr:col>
                    <xdr:colOff>106680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8" r:id="rId24" name="Option Button 34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17</xdr:row>
                    <xdr:rowOff>7620</xdr:rowOff>
                  </from>
                  <to>
                    <xdr:col>11</xdr:col>
                    <xdr:colOff>106680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1" r:id="rId25" name="Option Button 37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18</xdr:row>
                    <xdr:rowOff>7620</xdr:rowOff>
                  </from>
                  <to>
                    <xdr:col>11</xdr:col>
                    <xdr:colOff>106680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2" r:id="rId26" name="Option Button 38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19</xdr:row>
                    <xdr:rowOff>7620</xdr:rowOff>
                  </from>
                  <to>
                    <xdr:col>11</xdr:col>
                    <xdr:colOff>106680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27" name="Group Box 3">
              <controlPr defaultSize="0" print="0" autoFill="0" autoPict="0" macro="[0]!Gruppenfeld3_Klicken" altText="">
                <anchor moveWithCells="1">
                  <from>
                    <xdr:col>5</xdr:col>
                    <xdr:colOff>563880</xdr:colOff>
                    <xdr:row>14</xdr:row>
                    <xdr:rowOff>0</xdr:rowOff>
                  </from>
                  <to>
                    <xdr:col>12</xdr:col>
                    <xdr:colOff>373380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28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12</xdr:row>
                    <xdr:rowOff>0</xdr:rowOff>
                  </from>
                  <to>
                    <xdr:col>12</xdr:col>
                    <xdr:colOff>373380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29" name="Option Button 35">
              <controlPr defaultSize="0" autoFill="0" autoLine="0" autoPict="0">
                <anchor moveWithCells="1">
                  <from>
                    <xdr:col>7</xdr:col>
                    <xdr:colOff>678180</xdr:colOff>
                    <xdr:row>12</xdr:row>
                    <xdr:rowOff>30480</xdr:rowOff>
                  </from>
                  <to>
                    <xdr:col>10</xdr:col>
                    <xdr:colOff>335280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30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12</xdr:row>
                    <xdr:rowOff>30480</xdr:rowOff>
                  </from>
                  <to>
                    <xdr:col>11</xdr:col>
                    <xdr:colOff>617220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0" r:id="rId31" name="Group Box 76">
              <controlPr defaultSize="0" print="0" autoFill="0" autoPict="0">
                <anchor moveWithCells="1">
                  <from>
                    <xdr:col>5</xdr:col>
                    <xdr:colOff>571500</xdr:colOff>
                    <xdr:row>10</xdr:row>
                    <xdr:rowOff>0</xdr:rowOff>
                  </from>
                  <to>
                    <xdr:col>12</xdr:col>
                    <xdr:colOff>350520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1" r:id="rId32" name="Option Button 77">
              <controlPr defaultSize="0" autoFill="0" autoLine="0" autoPict="0">
                <anchor moveWithCells="1">
                  <from>
                    <xdr:col>8</xdr:col>
                    <xdr:colOff>754380</xdr:colOff>
                    <xdr:row>10</xdr:row>
                    <xdr:rowOff>7620</xdr:rowOff>
                  </from>
                  <to>
                    <xdr:col>9</xdr:col>
                    <xdr:colOff>449580</xdr:colOff>
                    <xdr:row>10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2" r:id="rId33" name="Option Button 78">
              <controlPr defaultSize="0" autoFill="0" autoLine="0" autoPict="0">
                <anchor moveWithCells="1">
                  <from>
                    <xdr:col>10</xdr:col>
                    <xdr:colOff>571500</xdr:colOff>
                    <xdr:row>10</xdr:row>
                    <xdr:rowOff>30480</xdr:rowOff>
                  </from>
                  <to>
                    <xdr:col>11</xdr:col>
                    <xdr:colOff>335280</xdr:colOff>
                    <xdr:row>10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" id="{B875836C-4FDA-4F79-A0B3-490C8568A1A9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105" id="{A45D577D-F668-40A4-816D-3CFEF19521A0}">
            <xm:f>$H$44=Formeln!$A$1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H44:K44</xm:sqref>
        </x14:conditionalFormatting>
        <x14:conditionalFormatting xmlns:xm="http://schemas.microsoft.com/office/excel/2006/main">
          <x14:cfRule type="expression" priority="103" id="{1D24F517-1CAA-470F-B20E-AE59B59C8DA8}">
            <xm:f>$I$76=Formeln!$A$1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I76:K76</xm:sqref>
        </x14:conditionalFormatting>
        <x14:conditionalFormatting xmlns:xm="http://schemas.microsoft.com/office/excel/2006/main">
          <x14:cfRule type="expression" priority="20" id="{376B2A5A-2667-4AA3-9358-1805F8D2F263}">
            <xm:f>$J$49=Formeln!$A$1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J49:K49</xm:sqref>
        </x14:conditionalFormatting>
        <x14:conditionalFormatting xmlns:xm="http://schemas.microsoft.com/office/excel/2006/main">
          <x14:cfRule type="expression" priority="9" id="{A81FE97F-5AB3-490E-B2BB-FCFD81BB9276}">
            <xm:f>$J32=Formeln!$A$284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6" id="{71849FE6-8495-47EC-A666-A03FED8044AE}">
            <xm:f>$J33=Formeln!$A$284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5" id="{66DF7221-D6F1-47BC-B434-B71C58C05099}">
            <xm:f>$J34=Formeln!$A$284</xm:f>
            <x14:dxf>
              <fill>
                <patternFill>
                  <bgColor theme="0" tint="-0.14996795556505021"/>
                </patternFill>
              </fill>
            </x14:dxf>
          </x14:cfRule>
          <xm:sqref>J34:K34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800-000000000000}">
          <x14:formula1>
            <xm:f>Formeln!$A$103:$A$108</xm:f>
          </x14:formula1>
          <xm:sqref>I76:K76</xm:sqref>
        </x14:dataValidation>
        <x14:dataValidation type="list" allowBlank="1" showInputMessage="1" showErrorMessage="1" xr:uid="{00000000-0002-0000-0800-000001000000}">
          <x14:formula1>
            <xm:f>Formeln!$A$9:$A$12</xm:f>
          </x14:formula1>
          <xm:sqref>H44:K44</xm:sqref>
        </x14:dataValidation>
        <x14:dataValidation type="list" allowBlank="1" showInputMessage="1" showErrorMessage="1" xr:uid="{00000000-0002-0000-0800-000002000000}">
          <x14:formula1>
            <xm:f>Formeln!$A$1:$A$3</xm:f>
          </x14:formula1>
          <xm:sqref>H40:K40</xm:sqref>
        </x14:dataValidation>
        <x14:dataValidation type="list" allowBlank="1" showInputMessage="1" showErrorMessage="1" xr:uid="{00000000-0002-0000-0800-000003000000}">
          <x14:formula1>
            <xm:f>Formeln!$C$30:$C$40</xm:f>
          </x14:formula1>
          <xm:sqref>J49:K49</xm:sqref>
        </x14:dataValidation>
        <x14:dataValidation type="list" allowBlank="1" showInputMessage="1" showErrorMessage="1" xr:uid="{00000000-0002-0000-0800-000004000000}">
          <x14:formula1>
            <xm:f>Formeln!$A$284:$A$286</xm:f>
          </x14:formula1>
          <xm:sqref>J32:K34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3e6e013-0698-44a1-9d48-8ff31a1df0c3">
      <UserInfo>
        <DisplayName/>
        <AccountId xsi:nil="true"/>
        <AccountType/>
      </UserInfo>
    </SharedWithUsers>
    <TaxCatchAll xmlns="bf01325f-6d04-4905-92c1-287a220edac3" xsi:nil="true"/>
    <MediaLengthInSeconds xmlns="665609e8-82a7-42bb-a241-1352fea502ca" xsi:nil="true"/>
    <lcf76f155ced4ddcb4097134ff3c332f xmlns="665609e8-82a7-42bb-a241-1352fea502c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C1B21C32056F44AA7DA1E9C2296358" ma:contentTypeVersion="13" ma:contentTypeDescription="Ein neues Dokument erstellen." ma:contentTypeScope="" ma:versionID="54ce7db451c838ce45d80ae7bb5b90df">
  <xsd:schema xmlns:xsd="http://www.w3.org/2001/XMLSchema" xmlns:xs="http://www.w3.org/2001/XMLSchema" xmlns:p="http://schemas.microsoft.com/office/2006/metadata/properties" xmlns:ns2="665609e8-82a7-42bb-a241-1352fea502ca" xmlns:ns3="43e6e013-0698-44a1-9d48-8ff31a1df0c3" xmlns:ns4="bf01325f-6d04-4905-92c1-287a220edac3" targetNamespace="http://schemas.microsoft.com/office/2006/metadata/properties" ma:root="true" ma:fieldsID="0b15a4ebd1e9c90ce61f10615e918e79" ns2:_="" ns3:_="" ns4:_="">
    <xsd:import namespace="665609e8-82a7-42bb-a241-1352fea502ca"/>
    <xsd:import namespace="43e6e013-0698-44a1-9d48-8ff31a1df0c3"/>
    <xsd:import namespace="bf01325f-6d04-4905-92c1-287a220eda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609e8-82a7-42bb-a241-1352fea502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Bildmarkierungen" ma:readOnly="false" ma:fieldId="{5cf76f15-5ced-4ddc-b409-7134ff3c332f}" ma:taxonomyMulti="true" ma:sspId="ac38430b-4b0d-4c0d-b3d9-a6776c55b4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6e013-0698-44a1-9d48-8ff31a1df0c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01325f-6d04-4905-92c1-287a220edac3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078028e3-4bdd-4533-b7fd-340baf10d21c}" ma:internalName="TaxCatchAll" ma:showField="CatchAllData" ma:web="bf01325f-6d04-4905-92c1-287a220eda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D17D4A-2810-454C-8366-DE8A767AFA23}">
  <ds:schemaRefs>
    <ds:schemaRef ds:uri="http://schemas.openxmlformats.org/package/2006/metadata/core-properties"/>
    <ds:schemaRef ds:uri="bf01325f-6d04-4905-92c1-287a220edac3"/>
    <ds:schemaRef ds:uri="http://schemas.microsoft.com/office/2006/documentManagement/types"/>
    <ds:schemaRef ds:uri="665609e8-82a7-42bb-a241-1352fea502ca"/>
    <ds:schemaRef ds:uri="http://www.w3.org/XML/1998/namespace"/>
    <ds:schemaRef ds:uri="43e6e013-0698-44a1-9d48-8ff31a1df0c3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D01F669-2E6C-45AC-9E9B-623854F63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5609e8-82a7-42bb-a241-1352fea502ca"/>
    <ds:schemaRef ds:uri="43e6e013-0698-44a1-9d48-8ff31a1df0c3"/>
    <ds:schemaRef ds:uri="bf01325f-6d04-4905-92c1-287a220eda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2BD32F-FE48-4D90-A6B7-E374B31134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Info</vt:lpstr>
      <vt:lpstr>DP</vt:lpstr>
      <vt:lpstr>DS</vt:lpstr>
      <vt:lpstr>DS.19</vt:lpstr>
      <vt:lpstr>R.16</vt:lpstr>
      <vt:lpstr>DR44</vt:lpstr>
      <vt:lpstr>DR29</vt:lpstr>
      <vt:lpstr>FX.12</vt:lpstr>
      <vt:lpstr>PR</vt:lpstr>
      <vt:lpstr>RI</vt:lpstr>
      <vt:lpstr>RI_P.10</vt:lpstr>
      <vt:lpstr>QR</vt:lpstr>
      <vt:lpstr>QR_P.10</vt:lpstr>
      <vt:lpstr>Versionsverlauf</vt:lpstr>
      <vt:lpstr>Formeln</vt:lpstr>
      <vt:lpstr>Formeln_RI_P.10</vt:lpstr>
      <vt:lpstr>Sprachindex</vt:lpstr>
      <vt:lpstr>Info!Zone_d_impression</vt:lpstr>
      <vt:lpstr>R.16!Zone_d_impression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2022-06-01T12:15:51Z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0x0101003EC1B21C32056F44AA7DA1E9C2296358</vt:lpwstr>
  </property>
  <property fmtid="{D5CDD505-2E9C-101B-9397-08002B2CF9AE}" pid="3" name="Order">
    <vt:r8>1241800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